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ashkin.sd\Desktop\"/>
    </mc:Choice>
  </mc:AlternateContent>
  <bookViews>
    <workbookView xWindow="0" yWindow="240" windowWidth="14820" windowHeight="12525" tabRatio="592"/>
  </bookViews>
  <sheets>
    <sheet name="график" sheetId="8" r:id="rId1"/>
    <sheet name="Лист1" sheetId="9" r:id="rId2"/>
  </sheets>
  <definedNames>
    <definedName name="_xlnm.Print_Titles" localSheetId="0">график!$9:$10</definedName>
  </definedNames>
  <calcPr calcId="152511"/>
</workbook>
</file>

<file path=xl/calcChain.xml><?xml version="1.0" encoding="utf-8"?>
<calcChain xmlns="http://schemas.openxmlformats.org/spreadsheetml/2006/main">
  <c r="C19" i="8" l="1"/>
  <c r="C20" i="8"/>
  <c r="C23" i="8"/>
  <c r="C31" i="8"/>
  <c r="E68" i="9" l="1"/>
  <c r="Q68" i="9" s="1"/>
  <c r="E67" i="9"/>
  <c r="Q67" i="9" s="1"/>
  <c r="E66" i="9"/>
  <c r="P66" i="9" s="1"/>
  <c r="E65" i="9"/>
  <c r="P65" i="9" s="1"/>
  <c r="E64" i="9"/>
  <c r="O64" i="9" s="1"/>
  <c r="E63" i="9"/>
  <c r="P63" i="9" s="1"/>
  <c r="E62" i="9"/>
  <c r="P62" i="9" s="1"/>
  <c r="J61" i="9"/>
  <c r="F61" i="9"/>
  <c r="F69" i="9" s="1"/>
  <c r="E61" i="9"/>
  <c r="M61" i="9" s="1"/>
  <c r="E60" i="9"/>
  <c r="P60" i="9" s="1"/>
  <c r="E59" i="9"/>
  <c r="P59" i="9" s="1"/>
  <c r="E58" i="9"/>
  <c r="K58" i="9" s="1"/>
  <c r="E57" i="9"/>
  <c r="M57" i="9" s="1"/>
  <c r="E56" i="9"/>
  <c r="J56" i="9" s="1"/>
  <c r="E55" i="9"/>
  <c r="K55" i="9" s="1"/>
  <c r="E54" i="9"/>
  <c r="N54" i="9" s="1"/>
  <c r="E53" i="9"/>
  <c r="O53" i="9" s="1"/>
  <c r="C53" i="9"/>
  <c r="C52" i="9"/>
  <c r="E52" i="9" s="1"/>
  <c r="E51" i="9"/>
  <c r="N51" i="9" s="1"/>
  <c r="C50" i="9"/>
  <c r="E50" i="9" s="1"/>
  <c r="E49" i="9"/>
  <c r="M49" i="9" s="1"/>
  <c r="E48" i="9"/>
  <c r="N48" i="9" s="1"/>
  <c r="C47" i="9"/>
  <c r="E47" i="9" s="1"/>
  <c r="L47" i="9" s="1"/>
  <c r="C46" i="9"/>
  <c r="E46" i="9" s="1"/>
  <c r="C45" i="9"/>
  <c r="E45" i="9" s="1"/>
  <c r="H44" i="9"/>
  <c r="E44" i="9"/>
  <c r="I44" i="9" s="1"/>
  <c r="E43" i="9"/>
  <c r="H43" i="9" s="1"/>
  <c r="E42" i="9"/>
  <c r="O42" i="9" s="1"/>
  <c r="G39" i="9"/>
  <c r="E38" i="9"/>
  <c r="E37" i="9"/>
  <c r="C36" i="9"/>
  <c r="E36" i="9" s="1"/>
  <c r="C35" i="9"/>
  <c r="E35" i="9" s="1"/>
  <c r="E34" i="9"/>
  <c r="C33" i="9"/>
  <c r="E33" i="9" s="1"/>
  <c r="E32" i="9"/>
  <c r="E31" i="9"/>
  <c r="E30" i="9"/>
  <c r="C30" i="9"/>
  <c r="C29" i="9"/>
  <c r="E29" i="9" s="1"/>
  <c r="C28" i="9"/>
  <c r="E28" i="9" s="1"/>
  <c r="H39" i="9"/>
  <c r="E27" i="9"/>
  <c r="E26" i="9"/>
  <c r="F39" i="9" s="1"/>
  <c r="E22" i="9"/>
  <c r="O22" i="9" s="1"/>
  <c r="E21" i="9"/>
  <c r="O21" i="9" s="1"/>
  <c r="C20" i="9"/>
  <c r="E20" i="9" s="1"/>
  <c r="E19" i="9"/>
  <c r="O19" i="9" s="1"/>
  <c r="E18" i="9"/>
  <c r="P18" i="9" s="1"/>
  <c r="O17" i="9"/>
  <c r="E17" i="9"/>
  <c r="N17" i="9" s="1"/>
  <c r="C16" i="9"/>
  <c r="E16" i="9" s="1"/>
  <c r="C15" i="9"/>
  <c r="E15" i="9" s="1"/>
  <c r="C14" i="9"/>
  <c r="E14" i="9" s="1"/>
  <c r="E13" i="9"/>
  <c r="P13" i="9" s="1"/>
  <c r="E12" i="9"/>
  <c r="N12" i="9" s="1"/>
  <c r="E11" i="9"/>
  <c r="O11" i="9" s="1"/>
  <c r="E10" i="9"/>
  <c r="Q69" i="9" l="1"/>
  <c r="M18" i="9"/>
  <c r="N61" i="9"/>
  <c r="N11" i="9"/>
  <c r="P19" i="9"/>
  <c r="Q18" i="9"/>
  <c r="N45" i="9"/>
  <c r="M45" i="9"/>
  <c r="P14" i="9"/>
  <c r="N14" i="9"/>
  <c r="Q14" i="9"/>
  <c r="M14" i="9"/>
  <c r="P16" i="9"/>
  <c r="N16" i="9"/>
  <c r="Q16" i="9"/>
  <c r="M16" i="9"/>
  <c r="N46" i="9"/>
  <c r="M46" i="9"/>
  <c r="L46" i="9"/>
  <c r="E23" i="9"/>
  <c r="N10" i="9"/>
  <c r="O13" i="9"/>
  <c r="O48" i="9"/>
  <c r="M53" i="9"/>
  <c r="I55" i="9"/>
  <c r="L55" i="9"/>
  <c r="K57" i="9"/>
  <c r="N57" i="9"/>
  <c r="M10" i="9"/>
  <c r="O12" i="9"/>
  <c r="N13" i="9"/>
  <c r="N18" i="9"/>
  <c r="O51" i="9"/>
  <c r="L53" i="9"/>
  <c r="H55" i="9"/>
  <c r="H69" i="9" s="1"/>
  <c r="J55" i="9"/>
  <c r="M55" i="9"/>
  <c r="K56" i="9"/>
  <c r="J57" i="9"/>
  <c r="L57" i="9"/>
  <c r="G61" i="9"/>
  <c r="G69" i="9" s="1"/>
  <c r="K61" i="9"/>
  <c r="N39" i="9"/>
  <c r="O50" i="9"/>
  <c r="N50" i="9"/>
  <c r="P50" i="9"/>
  <c r="P69" i="9" s="1"/>
  <c r="N15" i="9"/>
  <c r="P15" i="9"/>
  <c r="O15" i="9"/>
  <c r="I39" i="9"/>
  <c r="Q39" i="9"/>
  <c r="P39" i="9"/>
  <c r="L39" i="9"/>
  <c r="Q20" i="9"/>
  <c r="M20" i="9"/>
  <c r="O20" i="9"/>
  <c r="P20" i="9"/>
  <c r="N20" i="9"/>
  <c r="M52" i="9"/>
  <c r="O52" i="9"/>
  <c r="N52" i="9"/>
  <c r="P22" i="9"/>
  <c r="E39" i="9"/>
  <c r="M47" i="9"/>
  <c r="P12" i="9"/>
  <c r="P17" i="9"/>
  <c r="M21" i="9"/>
  <c r="M22" i="9"/>
  <c r="N47" i="9"/>
  <c r="M58" i="9"/>
  <c r="M12" i="9"/>
  <c r="O14" i="9"/>
  <c r="O16" i="9"/>
  <c r="M17" i="9"/>
  <c r="Q17" i="9"/>
  <c r="O18" i="9"/>
  <c r="N19" i="9"/>
  <c r="N21" i="9"/>
  <c r="N22" i="9"/>
  <c r="J39" i="9"/>
  <c r="N42" i="9"/>
  <c r="I43" i="9"/>
  <c r="K47" i="9"/>
  <c r="O47" i="9"/>
  <c r="M51" i="9"/>
  <c r="N53" i="9"/>
  <c r="I56" i="9"/>
  <c r="J58" i="9"/>
  <c r="N58" i="9"/>
  <c r="H61" i="9"/>
  <c r="L61" i="9"/>
  <c r="O62" i="9"/>
  <c r="L58" i="9"/>
  <c r="E69" i="9"/>
  <c r="Q22" i="9"/>
  <c r="J47" i="9"/>
  <c r="J69" i="9" s="1"/>
  <c r="L56" i="9"/>
  <c r="I58" i="9"/>
  <c r="K39" i="9"/>
  <c r="I61" i="9"/>
  <c r="Q23" i="9" l="1"/>
  <c r="O69" i="9"/>
  <c r="M69" i="9"/>
  <c r="N23" i="9"/>
  <c r="L69" i="9"/>
  <c r="K69" i="9"/>
  <c r="O23" i="9"/>
  <c r="M23" i="9"/>
  <c r="I69" i="9"/>
  <c r="N69" i="9"/>
  <c r="P23" i="9"/>
  <c r="M39" i="9"/>
  <c r="E70" i="9"/>
  <c r="O39" i="9"/>
</calcChain>
</file>

<file path=xl/sharedStrings.xml><?xml version="1.0" encoding="utf-8"?>
<sst xmlns="http://schemas.openxmlformats.org/spreadsheetml/2006/main" count="292" uniqueCount="116">
  <si>
    <t>№ п/п</t>
  </si>
  <si>
    <t>Наименование работ и затрат</t>
  </si>
  <si>
    <t>Наружные сети связи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</si>
  <si>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</si>
  <si>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</si>
  <si>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</si>
  <si>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</si>
  <si>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</si>
  <si>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</si>
  <si>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</si>
  <si>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</si>
  <si>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</si>
  <si>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</si>
  <si>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</si>
  <si>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</si>
  <si>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</si>
  <si>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Начальная (максимальная) цена, в т.ч.
 НДС 18%</t>
  </si>
  <si>
    <t>Понижающий коэффициент</t>
  </si>
  <si>
    <t>25</t>
  </si>
  <si>
    <t>26</t>
  </si>
  <si>
    <t>27</t>
  </si>
  <si>
    <t>28</t>
  </si>
  <si>
    <t>2</t>
  </si>
  <si>
    <t>по объекту: "Выставочный зал в честь 50-летия АВТОВАЗа и выпуска легкового автомобиля со сквером, игровыми площадками и фонтаном" с учетом лимитированных затрат и НДС.</t>
  </si>
  <si>
    <t>Снос и демонтаж объектов капитального строительства</t>
  </si>
  <si>
    <t>Компенсационная стоимость за снос зеленых насаждений</t>
  </si>
  <si>
    <t>Планировка земельного участка Фонтан Каток</t>
  </si>
  <si>
    <t>Электроснабжение Наружные сети</t>
  </si>
  <si>
    <t>Система охранного видеонаблюдения Наружные сети</t>
  </si>
  <si>
    <t>Водоподготовка прудов и фонтанов</t>
  </si>
  <si>
    <t>Заглубленный резервуар технической воды, сборно-монолитный железобетонный прямоугольный емкостью 100м3</t>
  </si>
  <si>
    <t>Генеральный план Малые архитектурные формы</t>
  </si>
  <si>
    <t xml:space="preserve">2017 год </t>
  </si>
  <si>
    <t>1</t>
  </si>
  <si>
    <t>3</t>
  </si>
  <si>
    <t>2019 год</t>
  </si>
  <si>
    <t>Конструкции железобетонные Основание под арку и подпорная стенка</t>
  </si>
  <si>
    <t>Архитектурные решения</t>
  </si>
  <si>
    <t>Конструкции железобетонные Выставочный зал</t>
  </si>
  <si>
    <t>Водопровод  хоз-питьевой (В1, Т3) Канализация бытовая (К!), Дождевая канализация (К2) Дренаж (Др2)</t>
  </si>
  <si>
    <t>Отопление, вентиляция и кондиционирование воздуха Выставочный зал</t>
  </si>
  <si>
    <t>Электроосвещение Выставочный зал</t>
  </si>
  <si>
    <t>Электроснабжение Выставочный зал</t>
  </si>
  <si>
    <t>Заземление и молниезащита Выставочный зал</t>
  </si>
  <si>
    <t>Технологические решения Выставочный зал</t>
  </si>
  <si>
    <t>Структурированные кабельные сети Выставочный зал</t>
  </si>
  <si>
    <t>Система охранного видеонаблюдения Выставочный зал</t>
  </si>
  <si>
    <t>Автоматика вентиляционных систем</t>
  </si>
  <si>
    <t>Охранно-пожарная сигнализация Выставочный зал</t>
  </si>
  <si>
    <t>ПНР Автоматика вентиляционных систем Выставочный зал</t>
  </si>
  <si>
    <t>ПНР Охранно-пожарная сигнализация Выставочный зал</t>
  </si>
  <si>
    <t>ПНР Система охранного виденаблюдения Выставочный зал</t>
  </si>
  <si>
    <t>19</t>
  </si>
  <si>
    <t>20</t>
  </si>
  <si>
    <t>21</t>
  </si>
  <si>
    <t>22</t>
  </si>
  <si>
    <t>23</t>
  </si>
  <si>
    <t>24</t>
  </si>
  <si>
    <t>2017 год</t>
  </si>
  <si>
    <t>Всего 2017г.</t>
  </si>
  <si>
    <t>Всего 2019г.</t>
  </si>
  <si>
    <t>График выполнения строительно-монтажных работ</t>
  </si>
  <si>
    <t xml:space="preserve">Приложение № 3 к муниципальному контракту 0142200001317005253_259977  от "____" _________2017 г. </t>
  </si>
  <si>
    <t>Геодезическая разбивка границ строительной площадки</t>
  </si>
  <si>
    <t>Работы выполняются согласно ПОС (проекта организации строительной площадки)</t>
  </si>
  <si>
    <t>Монтаж временного ограждения строительной пощадки</t>
  </si>
  <si>
    <t>Установка, обустройство строительного городка (бытовки,туалеты, умывальники)</t>
  </si>
  <si>
    <t>4</t>
  </si>
  <si>
    <t>Подключение временных инженерных сетей (водопровод, электроснабжение)</t>
  </si>
  <si>
    <t>5</t>
  </si>
  <si>
    <t>6</t>
  </si>
  <si>
    <t>7</t>
  </si>
  <si>
    <t>8</t>
  </si>
  <si>
    <t>9</t>
  </si>
  <si>
    <t xml:space="preserve">Наружные сети водоснабжение и канализации </t>
  </si>
  <si>
    <t>10</t>
  </si>
  <si>
    <t xml:space="preserve">Электроосвещение Наружные сети </t>
  </si>
  <si>
    <t>11</t>
  </si>
  <si>
    <t>Тепловые сети</t>
  </si>
  <si>
    <t>12</t>
  </si>
  <si>
    <t>13</t>
  </si>
  <si>
    <t>14</t>
  </si>
  <si>
    <t>15</t>
  </si>
  <si>
    <t xml:space="preserve">Планировка земельного участка </t>
  </si>
  <si>
    <t>16</t>
  </si>
  <si>
    <t>17</t>
  </si>
  <si>
    <t xml:space="preserve">Планировка земельного участка Малые архитектурные формы и переносные изделия </t>
  </si>
  <si>
    <t xml:space="preserve">Планировка земельного участка Элементы озеленения </t>
  </si>
  <si>
    <t>2018 год</t>
  </si>
  <si>
    <t>18</t>
  </si>
  <si>
    <t>ИТОГО за 2017 год:</t>
  </si>
  <si>
    <t>График оплаты выполненых работ</t>
  </si>
  <si>
    <t>Наименование работ</t>
  </si>
  <si>
    <t>Цена (руб.) в т.ч. НДС 18%</t>
  </si>
  <si>
    <t>% работ на 2017 год</t>
  </si>
  <si>
    <t>Объем (руб.) на 2017 год</t>
  </si>
  <si>
    <t>% работ на 2018 год</t>
  </si>
  <si>
    <t>Объем (руб.)на 2018 год</t>
  </si>
  <si>
    <t>ИТОГО за 2018 год:</t>
  </si>
  <si>
    <t>% работ на 2019 год</t>
  </si>
  <si>
    <t>Объем (руб.) на 2019 год</t>
  </si>
  <si>
    <t>ИТОГО за 2019 год:</t>
  </si>
  <si>
    <t>ИТОГО:</t>
  </si>
  <si>
    <t xml:space="preserve">январь </t>
  </si>
  <si>
    <t>Наружные сети водоснабжение и канализации (15%)</t>
  </si>
  <si>
    <t>Тепловые сети (15%)</t>
  </si>
  <si>
    <t>Планировка земельного участка Малые архитектурные формы и переносные изделия (20%)</t>
  </si>
  <si>
    <t>Планировка земельного участка Элементы озеленения (27%)</t>
  </si>
  <si>
    <t>Планировка земельного участка (19,52%)</t>
  </si>
  <si>
    <t>Наружные сети водоснабжение и канализации (85%)</t>
  </si>
  <si>
    <t>Тепловые сети (85%)</t>
  </si>
  <si>
    <t>Электроосвещение Наружные сети (67,16%)</t>
  </si>
  <si>
    <t>Электроосвещение Наружные сети (32,84%)</t>
  </si>
  <si>
    <t>Планировка земельного участка Малые архитектурные формы и переносные изделия (80%)</t>
  </si>
  <si>
    <t>Планировка земельного участка Элементы озеленения (73%)</t>
  </si>
  <si>
    <t>Планировка земельного участка (80,48%)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</si>
</sst>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6" fillId="0" borderId="0" applyBorder="0" applyProtection="0"/>
    <xf numFmtId="0" fontId="7" fillId="0" borderId="0"/>
    <xf numFmtId="0" fontId="12" fillId="0" borderId="0"/>
    <xf numFmtId="0" fontId="14" fillId="0" borderId="0"/>
  </cellStyleXfs>
  <cellXfs count="299">
    <xf numFmtId="0" fontId="0" fillId="0" borderId="0" xfId="0"/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/>
    <xf numFmtId="0" fontId="11" fillId="0" borderId="0" xfId="0" applyFont="1" applyFill="1"/>
    <xf numFmtId="4" fontId="1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" fontId="8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/>
    <xf numFmtId="4" fontId="11" fillId="0" borderId="0" xfId="0" applyNumberFormat="1" applyFont="1" applyFill="1" applyBorder="1" applyAlignment="1">
      <alignment wrapText="1"/>
    </xf>
    <xf numFmtId="4" fontId="2" fillId="0" borderId="0" xfId="0" applyNumberFormat="1" applyFont="1" applyFill="1"/>
    <xf numFmtId="4" fontId="5" fillId="0" borderId="0" xfId="0" applyNumberFormat="1" applyFont="1" applyFill="1" applyBorder="1" applyAlignment="1">
      <alignment wrapText="1"/>
    </xf>
    <xf numFmtId="4" fontId="11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15" xfId="3" applyFont="1" applyFill="1" applyBorder="1" applyAlignment="1">
      <alignment horizontal="left" vertical="center" wrapText="1"/>
    </xf>
    <xf numFmtId="4" fontId="5" fillId="0" borderId="19" xfId="3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4" fontId="5" fillId="0" borderId="20" xfId="3" applyNumberFormat="1" applyFont="1" applyFill="1" applyBorder="1" applyAlignment="1">
      <alignment horizontal="center" vertical="center" wrapText="1"/>
    </xf>
    <xf numFmtId="4" fontId="13" fillId="0" borderId="19" xfId="3" applyNumberFormat="1" applyFont="1" applyFill="1" applyBorder="1" applyAlignment="1">
      <alignment horizontal="center" vertical="center" wrapText="1"/>
    </xf>
    <xf numFmtId="1" fontId="13" fillId="0" borderId="1" xfId="3" applyNumberFormat="1" applyFont="1" applyFill="1" applyBorder="1" applyAlignment="1">
      <alignment horizontal="center" vertical="center" wrapText="1"/>
    </xf>
    <xf numFmtId="4" fontId="13" fillId="0" borderId="20" xfId="3" applyNumberFormat="1" applyFont="1" applyFill="1" applyBorder="1" applyAlignment="1">
      <alignment horizontal="center" vertical="center" wrapText="1"/>
    </xf>
    <xf numFmtId="49" fontId="5" fillId="0" borderId="15" xfId="3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4" fontId="5" fillId="0" borderId="19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49" fontId="5" fillId="0" borderId="21" xfId="3" applyNumberFormat="1" applyFont="1" applyFill="1" applyBorder="1" applyAlignment="1">
      <alignment horizontal="left" vertical="center" wrapText="1"/>
    </xf>
    <xf numFmtId="4" fontId="5" fillId="0" borderId="22" xfId="3" applyNumberFormat="1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center" vertical="center" wrapText="1"/>
    </xf>
    <xf numFmtId="4" fontId="13" fillId="0" borderId="24" xfId="3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5" fillId="0" borderId="4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center" wrapText="1"/>
    </xf>
    <xf numFmtId="4" fontId="13" fillId="0" borderId="27" xfId="3" applyNumberFormat="1" applyFont="1" applyFill="1" applyBorder="1" applyAlignment="1">
      <alignment horizontal="center" vertical="center" wrapText="1"/>
    </xf>
    <xf numFmtId="1" fontId="5" fillId="0" borderId="28" xfId="3" applyNumberFormat="1" applyFont="1" applyFill="1" applyBorder="1" applyAlignment="1">
      <alignment horizontal="center" vertical="center" wrapText="1"/>
    </xf>
    <xf numFmtId="4" fontId="5" fillId="0" borderId="29" xfId="3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5" fillId="0" borderId="30" xfId="3" applyNumberFormat="1" applyFont="1" applyFill="1" applyBorder="1" applyAlignment="1">
      <alignment horizontal="center" vertical="center" wrapText="1"/>
    </xf>
    <xf numFmtId="4" fontId="5" fillId="0" borderId="31" xfId="3" applyNumberFormat="1" applyFont="1" applyFill="1" applyBorder="1" applyAlignment="1">
      <alignment horizontal="center" vertical="center" wrapText="1"/>
    </xf>
    <xf numFmtId="4" fontId="5" fillId="0" borderId="30" xfId="4" applyNumberFormat="1" applyFont="1" applyFill="1" applyBorder="1" applyAlignment="1">
      <alignment horizontal="center" vertical="center" wrapText="1"/>
    </xf>
    <xf numFmtId="49" fontId="5" fillId="0" borderId="12" xfId="3" applyNumberFormat="1" applyFont="1" applyFill="1" applyBorder="1" applyAlignment="1">
      <alignment horizontal="left" vertical="center" wrapText="1"/>
    </xf>
    <xf numFmtId="4" fontId="5" fillId="0" borderId="33" xfId="3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" fontId="5" fillId="0" borderId="35" xfId="3" applyNumberFormat="1" applyFont="1" applyFill="1" applyBorder="1" applyAlignment="1">
      <alignment horizontal="center" vertical="center" wrapText="1"/>
    </xf>
    <xf numFmtId="1" fontId="5" fillId="0" borderId="2" xfId="3" applyNumberFormat="1" applyFont="1" applyFill="1" applyBorder="1" applyAlignment="1">
      <alignment horizontal="center" vertical="center" wrapText="1"/>
    </xf>
    <xf numFmtId="49" fontId="5" fillId="0" borderId="36" xfId="3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left" vertical="center" wrapText="1"/>
    </xf>
    <xf numFmtId="4" fontId="5" fillId="0" borderId="39" xfId="3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5" fillId="0" borderId="25" xfId="3" applyNumberFormat="1" applyFont="1" applyFill="1" applyBorder="1" applyAlignment="1">
      <alignment horizontal="center" vertical="center" wrapText="1"/>
    </xf>
    <xf numFmtId="4" fontId="5" fillId="0" borderId="43" xfId="3" applyNumberFormat="1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4" fontId="13" fillId="0" borderId="4" xfId="3" applyNumberFormat="1" applyFont="1" applyFill="1" applyBorder="1" applyAlignment="1">
      <alignment horizontal="center" vertical="center" wrapText="1"/>
    </xf>
    <xf numFmtId="4" fontId="13" fillId="0" borderId="3" xfId="3" applyNumberFormat="1" applyFont="1" applyFill="1" applyBorder="1" applyAlignment="1">
      <alignment horizontal="center" vertical="center" wrapText="1"/>
    </xf>
    <xf numFmtId="4" fontId="4" fillId="0" borderId="25" xfId="3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5" fillId="0" borderId="27" xfId="3" applyNumberFormat="1" applyFont="1" applyFill="1" applyBorder="1" applyAlignment="1">
      <alignment horizontal="center" vertical="center" wrapText="1"/>
    </xf>
    <xf numFmtId="4" fontId="5" fillId="0" borderId="28" xfId="3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" fontId="5" fillId="0" borderId="61" xfId="3" applyNumberFormat="1" applyFont="1" applyFill="1" applyBorder="1" applyAlignment="1">
      <alignment horizontal="center" vertical="center" wrapText="1"/>
    </xf>
    <xf numFmtId="4" fontId="5" fillId="0" borderId="23" xfId="3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4" fillId="0" borderId="63" xfId="3" applyNumberFormat="1" applyFont="1" applyFill="1" applyBorder="1" applyAlignment="1">
      <alignment horizontal="center" vertical="center" wrapText="1"/>
    </xf>
    <xf numFmtId="4" fontId="5" fillId="0" borderId="50" xfId="3" applyNumberFormat="1" applyFont="1" applyFill="1" applyBorder="1" applyAlignment="1">
      <alignment horizontal="center" vertical="center" wrapText="1"/>
    </xf>
    <xf numFmtId="4" fontId="5" fillId="0" borderId="51" xfId="3" applyNumberFormat="1" applyFont="1" applyFill="1" applyBorder="1" applyAlignment="1">
      <alignment horizontal="center" vertical="center" wrapText="1"/>
    </xf>
    <xf numFmtId="4" fontId="5" fillId="0" borderId="52" xfId="3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5" fillId="0" borderId="64" xfId="3" applyNumberFormat="1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4" fontId="1" fillId="0" borderId="51" xfId="3" applyNumberFormat="1" applyFont="1" applyFill="1" applyBorder="1" applyAlignment="1">
      <alignment horizontal="center" vertical="center" wrapText="1"/>
    </xf>
    <xf numFmtId="4" fontId="1" fillId="0" borderId="51" xfId="3" applyNumberFormat="1" applyFont="1" applyFill="1" applyBorder="1" applyAlignment="1">
      <alignment horizontal="left" vertical="center" wrapText="1"/>
    </xf>
    <xf numFmtId="4" fontId="2" fillId="0" borderId="51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" fontId="11" fillId="0" borderId="45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71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11" fillId="0" borderId="64" xfId="0" applyNumberFormat="1" applyFont="1" applyFill="1" applyBorder="1" applyAlignment="1">
      <alignment horizontal="center" vertical="center"/>
    </xf>
    <xf numFmtId="4" fontId="5" fillId="0" borderId="36" xfId="3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5" fillId="0" borderId="31" xfId="3" applyNumberFormat="1" applyFont="1" applyFill="1" applyBorder="1" applyAlignment="1">
      <alignment horizontal="center" vertical="center" wrapText="1"/>
    </xf>
    <xf numFmtId="4" fontId="5" fillId="0" borderId="71" xfId="3" applyNumberFormat="1" applyFont="1" applyFill="1" applyBorder="1" applyAlignment="1">
      <alignment horizontal="center" vertical="center" wrapText="1"/>
    </xf>
    <xf numFmtId="4" fontId="5" fillId="0" borderId="7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6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4" fontId="10" fillId="0" borderId="64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left" vertical="center" wrapText="1"/>
    </xf>
    <xf numFmtId="4" fontId="5" fillId="0" borderId="45" xfId="3" applyNumberFormat="1" applyFont="1" applyFill="1" applyBorder="1" applyAlignment="1">
      <alignment horizontal="center" vertical="center" wrapText="1"/>
    </xf>
    <xf numFmtId="1" fontId="5" fillId="0" borderId="31" xfId="3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" fontId="5" fillId="0" borderId="71" xfId="3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3" fillId="0" borderId="68" xfId="1" applyNumberFormat="1" applyFont="1" applyFill="1" applyBorder="1" applyAlignment="1" applyProtection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center" vertical="center" wrapText="1"/>
    </xf>
    <xf numFmtId="4" fontId="3" fillId="0" borderId="69" xfId="1" applyNumberFormat="1" applyFont="1" applyFill="1" applyBorder="1" applyAlignment="1" applyProtection="1">
      <alignment horizontal="center" vertical="center" wrapText="1"/>
    </xf>
    <xf numFmtId="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27" xfId="1" applyFont="1" applyFill="1" applyBorder="1" applyAlignment="1" applyProtection="1">
      <alignment horizontal="center" vertical="center" wrapText="1"/>
    </xf>
    <xf numFmtId="164" fontId="3" fillId="0" borderId="28" xfId="1" applyFont="1" applyFill="1" applyBorder="1" applyAlignment="1" applyProtection="1">
      <alignment horizontal="center" vertical="center" wrapText="1"/>
    </xf>
    <xf numFmtId="164" fontId="3" fillId="0" borderId="44" xfId="1" applyFont="1" applyFill="1" applyBorder="1" applyAlignment="1" applyProtection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center" vertical="center"/>
    </xf>
    <xf numFmtId="4" fontId="10" fillId="0" borderId="73" xfId="0" applyNumberFormat="1" applyFont="1" applyFill="1" applyBorder="1" applyAlignment="1">
      <alignment horizontal="center" vertical="center"/>
    </xf>
    <xf numFmtId="4" fontId="10" fillId="0" borderId="72" xfId="0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 applyProtection="1">
      <alignment horizontal="center" vertical="center" wrapText="1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3" xfId="1" applyFont="1" applyFill="1" applyBorder="1" applyAlignment="1" applyProtection="1">
      <alignment horizontal="center" vertical="center" wrapText="1"/>
    </xf>
    <xf numFmtId="164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6" fillId="0" borderId="40" xfId="3" applyFont="1" applyFill="1" applyBorder="1" applyAlignment="1">
      <alignment horizontal="center" vertical="center" wrapText="1"/>
    </xf>
    <xf numFmtId="0" fontId="16" fillId="0" borderId="32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164" fontId="17" fillId="0" borderId="53" xfId="1" applyFont="1" applyFill="1" applyBorder="1" applyAlignment="1" applyProtection="1">
      <alignment horizontal="center" vertical="center" wrapText="1"/>
    </xf>
    <xf numFmtId="164" fontId="17" fillId="0" borderId="13" xfId="1" applyFont="1" applyFill="1" applyBorder="1" applyAlignment="1" applyProtection="1">
      <alignment horizontal="center" vertical="center" wrapText="1"/>
    </xf>
    <xf numFmtId="164" fontId="17" fillId="0" borderId="14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right" vertical="center" wrapText="1"/>
    </xf>
    <xf numFmtId="49" fontId="18" fillId="0" borderId="32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right" vertical="center" wrapText="1"/>
    </xf>
    <xf numFmtId="49" fontId="18" fillId="0" borderId="62" xfId="0" applyNumberFormat="1" applyFont="1" applyFill="1" applyBorder="1" applyAlignment="1">
      <alignment horizontal="righ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164" fontId="17" fillId="0" borderId="26" xfId="1" applyFont="1" applyFill="1" applyBorder="1" applyAlignment="1" applyProtection="1">
      <alignment horizontal="center" vertical="center" wrapText="1"/>
    </xf>
    <xf numFmtId="164" fontId="17" fillId="0" borderId="58" xfId="1" applyFont="1" applyFill="1" applyBorder="1" applyAlignment="1" applyProtection="1">
      <alignment horizontal="center" vertical="center" wrapText="1"/>
    </xf>
    <xf numFmtId="164" fontId="17" fillId="0" borderId="59" xfId="1" applyFont="1" applyFill="1" applyBorder="1" applyAlignment="1" applyProtection="1">
      <alignment horizontal="center" vertical="center" wrapText="1"/>
    </xf>
    <xf numFmtId="4" fontId="3" fillId="0" borderId="74" xfId="1" applyNumberFormat="1" applyFont="1" applyFill="1" applyBorder="1" applyAlignment="1" applyProtection="1">
      <alignment horizontal="center" vertical="center" wrapText="1"/>
    </xf>
    <xf numFmtId="4" fontId="3" fillId="0" borderId="75" xfId="1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43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zoomScale="60" zoomScaleNormal="60" workbookViewId="0">
      <selection activeCell="G9" sqref="G9:G10"/>
    </sheetView>
  </sheetViews>
  <sheetFormatPr defaultRowHeight="12.75" outlineLevelRow="1" x14ac:dyDescent="0.2"/>
  <cols>
    <col min="1" max="1" width="4.42578125" style="22" customWidth="1"/>
    <col min="2" max="2" width="45.7109375" style="12" customWidth="1"/>
    <col min="3" max="3" width="14.28515625" style="33" hidden="1" customWidth="1"/>
    <col min="4" max="6" width="13" style="33" hidden="1" customWidth="1"/>
    <col min="7" max="7" width="4.85546875" style="16" customWidth="1"/>
    <col min="8" max="8" width="12.7109375" style="197" customWidth="1"/>
    <col min="9" max="9" width="12.7109375" style="181" customWidth="1"/>
    <col min="10" max="10" width="12.7109375" style="197" customWidth="1"/>
    <col min="11" max="11" width="12.7109375" style="181" customWidth="1"/>
    <col min="12" max="14" width="12.7109375" style="13" customWidth="1"/>
    <col min="15" max="15" width="15.7109375" style="13" customWidth="1"/>
    <col min="16" max="17" width="12.7109375" style="13" customWidth="1"/>
    <col min="18" max="27" width="12.7109375" style="181" customWidth="1"/>
    <col min="28" max="28" width="15.7109375" style="181" customWidth="1"/>
    <col min="29" max="16384" width="9.140625" style="12"/>
  </cols>
  <sheetData>
    <row r="1" spans="1:28" ht="18.75" customHeight="1" outlineLevel="1" x14ac:dyDescent="0.2">
      <c r="A1" s="11"/>
      <c r="B1" s="11"/>
      <c r="C1" s="29"/>
      <c r="D1" s="29"/>
      <c r="E1" s="29"/>
      <c r="F1" s="29"/>
      <c r="G1" s="29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21" customHeight="1" outlineLevel="1" x14ac:dyDescent="0.2">
      <c r="A2" s="11"/>
      <c r="B2" s="11"/>
      <c r="C2" s="29"/>
      <c r="D2" s="29"/>
      <c r="E2" s="29"/>
      <c r="F2" s="29"/>
      <c r="G2" s="29"/>
      <c r="H2" s="180"/>
      <c r="I2" s="180"/>
      <c r="J2" s="180"/>
      <c r="K2" s="180"/>
      <c r="L2" s="213" t="s">
        <v>62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28" ht="21.75" customHeight="1" outlineLevel="1" x14ac:dyDescent="0.2">
      <c r="A3" s="11"/>
      <c r="B3" s="11"/>
      <c r="C3" s="30"/>
      <c r="D3" s="30"/>
      <c r="E3" s="30"/>
      <c r="F3" s="30"/>
      <c r="G3" s="28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5" customHeight="1" x14ac:dyDescent="0.2">
      <c r="A4" s="11"/>
      <c r="B4" s="11"/>
      <c r="C4" s="29"/>
      <c r="D4" s="29"/>
      <c r="E4" s="29"/>
      <c r="F4" s="29"/>
      <c r="G4" s="29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24.75" customHeight="1" x14ac:dyDescent="0.2">
      <c r="A5" s="214" t="s">
        <v>61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6" spans="1:28" ht="9" customHeight="1" x14ac:dyDescent="0.2">
      <c r="A6" s="215" t="s">
        <v>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28" ht="51" customHeight="1" x14ac:dyDescent="0.2">
      <c r="A7" s="214" t="s">
        <v>23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8" ht="20.25" customHeight="1" thickBot="1" x14ac:dyDescent="0.25">
      <c r="A8" s="14"/>
      <c r="B8" s="15"/>
      <c r="C8" s="31"/>
      <c r="D8" s="31"/>
      <c r="E8" s="31"/>
      <c r="F8" s="31"/>
      <c r="H8" s="195"/>
      <c r="I8" s="196"/>
      <c r="J8" s="195"/>
      <c r="K8" s="196"/>
    </row>
    <row r="9" spans="1:28" ht="30.75" customHeight="1" x14ac:dyDescent="0.2">
      <c r="A9" s="216" t="s">
        <v>0</v>
      </c>
      <c r="B9" s="218" t="s">
        <v>1</v>
      </c>
      <c r="C9" s="220" t="s">
        <v>16</v>
      </c>
      <c r="D9" s="222" t="s">
        <v>17</v>
      </c>
      <c r="E9" s="232" t="s">
        <v>16</v>
      </c>
      <c r="F9" s="233" t="s">
        <v>17</v>
      </c>
      <c r="G9" s="281"/>
      <c r="H9" s="224" t="s">
        <v>58</v>
      </c>
      <c r="I9" s="225"/>
      <c r="J9" s="225"/>
      <c r="K9" s="225"/>
      <c r="L9" s="225"/>
      <c r="M9" s="225"/>
      <c r="N9" s="226"/>
      <c r="O9" s="234" t="s">
        <v>59</v>
      </c>
      <c r="P9" s="227" t="s">
        <v>35</v>
      </c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9"/>
      <c r="AB9" s="230" t="s">
        <v>60</v>
      </c>
    </row>
    <row r="10" spans="1:28" ht="39.75" customHeight="1" thickBot="1" x14ac:dyDescent="0.25">
      <c r="A10" s="217"/>
      <c r="B10" s="219"/>
      <c r="C10" s="221"/>
      <c r="D10" s="223"/>
      <c r="E10" s="221"/>
      <c r="F10" s="223"/>
      <c r="G10" s="282"/>
      <c r="H10" s="187" t="s">
        <v>7</v>
      </c>
      <c r="I10" s="23" t="s">
        <v>8</v>
      </c>
      <c r="J10" s="24" t="s">
        <v>9</v>
      </c>
      <c r="K10" s="25" t="s">
        <v>10</v>
      </c>
      <c r="L10" s="24" t="s">
        <v>11</v>
      </c>
      <c r="M10" s="24" t="s">
        <v>12</v>
      </c>
      <c r="N10" s="85" t="s">
        <v>13</v>
      </c>
      <c r="O10" s="235"/>
      <c r="P10" s="176" t="s">
        <v>103</v>
      </c>
      <c r="Q10" s="26" t="s">
        <v>15</v>
      </c>
      <c r="R10" s="27" t="s">
        <v>4</v>
      </c>
      <c r="S10" s="27" t="s">
        <v>5</v>
      </c>
      <c r="T10" s="27" t="s">
        <v>6</v>
      </c>
      <c r="U10" s="23" t="s">
        <v>7</v>
      </c>
      <c r="V10" s="23" t="s">
        <v>8</v>
      </c>
      <c r="W10" s="24" t="s">
        <v>9</v>
      </c>
      <c r="X10" s="25" t="s">
        <v>10</v>
      </c>
      <c r="Y10" s="24" t="s">
        <v>11</v>
      </c>
      <c r="Z10" s="24" t="s">
        <v>12</v>
      </c>
      <c r="AA10" s="85" t="s">
        <v>13</v>
      </c>
      <c r="AB10" s="231"/>
    </row>
    <row r="11" spans="1:28" s="20" customFormat="1" ht="23.25" customHeight="1" thickBot="1" x14ac:dyDescent="0.25">
      <c r="A11" s="240" t="s">
        <v>32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198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82"/>
      <c r="AB11" s="184"/>
    </row>
    <row r="12" spans="1:28" ht="30" customHeight="1" x14ac:dyDescent="0.2">
      <c r="A12" s="167" t="s">
        <v>33</v>
      </c>
      <c r="B12" s="168" t="s">
        <v>63</v>
      </c>
      <c r="C12" s="236"/>
      <c r="D12" s="236"/>
      <c r="E12" s="236"/>
      <c r="F12" s="236"/>
      <c r="G12" s="237"/>
      <c r="H12" s="10"/>
      <c r="I12" s="284"/>
      <c r="J12" s="169"/>
      <c r="K12" s="170"/>
      <c r="L12" s="171"/>
      <c r="M12" s="171"/>
      <c r="N12" s="172"/>
      <c r="O12" s="192"/>
      <c r="P12" s="200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6"/>
      <c r="AB12" s="204"/>
    </row>
    <row r="13" spans="1:28" ht="30" customHeight="1" x14ac:dyDescent="0.2">
      <c r="A13" s="53" t="s">
        <v>22</v>
      </c>
      <c r="B13" s="36" t="s">
        <v>65</v>
      </c>
      <c r="C13" s="236"/>
      <c r="D13" s="236"/>
      <c r="E13" s="236"/>
      <c r="F13" s="236"/>
      <c r="G13" s="237"/>
      <c r="H13" s="3"/>
      <c r="I13" s="285"/>
      <c r="J13" s="8"/>
      <c r="K13" s="84"/>
      <c r="L13" s="24"/>
      <c r="M13" s="24"/>
      <c r="N13" s="85"/>
      <c r="O13" s="193"/>
      <c r="P13" s="201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85"/>
      <c r="AB13" s="205"/>
    </row>
    <row r="14" spans="1:28" ht="30" customHeight="1" x14ac:dyDescent="0.2">
      <c r="A14" s="53" t="s">
        <v>34</v>
      </c>
      <c r="B14" s="36" t="s">
        <v>66</v>
      </c>
      <c r="C14" s="236"/>
      <c r="D14" s="236"/>
      <c r="E14" s="236"/>
      <c r="F14" s="236"/>
      <c r="G14" s="237"/>
      <c r="H14" s="5"/>
      <c r="I14" s="285"/>
      <c r="J14" s="8"/>
      <c r="K14" s="84"/>
      <c r="L14" s="24"/>
      <c r="M14" s="24"/>
      <c r="N14" s="85"/>
      <c r="O14" s="193"/>
      <c r="P14" s="201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85"/>
      <c r="AB14" s="205"/>
    </row>
    <row r="15" spans="1:28" ht="30" customHeight="1" thickBot="1" x14ac:dyDescent="0.25">
      <c r="A15" s="54" t="s">
        <v>67</v>
      </c>
      <c r="B15" s="161" t="s">
        <v>68</v>
      </c>
      <c r="C15" s="238"/>
      <c r="D15" s="238"/>
      <c r="E15" s="238"/>
      <c r="F15" s="238"/>
      <c r="G15" s="239"/>
      <c r="H15" s="162"/>
      <c r="I15" s="286"/>
      <c r="J15" s="163"/>
      <c r="K15" s="164"/>
      <c r="L15" s="163"/>
      <c r="M15" s="163"/>
      <c r="N15" s="165"/>
      <c r="O15" s="194"/>
      <c r="P15" s="201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185"/>
      <c r="AB15" s="205"/>
    </row>
    <row r="16" spans="1:28" ht="30" customHeight="1" x14ac:dyDescent="0.2">
      <c r="A16" s="158" t="s">
        <v>69</v>
      </c>
      <c r="B16" s="207" t="s">
        <v>24</v>
      </c>
      <c r="C16" s="69">
        <v>2460412.84</v>
      </c>
      <c r="D16" s="70">
        <v>100</v>
      </c>
      <c r="E16" s="64">
        <v>2472776.7200000002</v>
      </c>
      <c r="F16" s="188">
        <v>0.995</v>
      </c>
      <c r="G16" s="208"/>
      <c r="H16" s="159"/>
      <c r="I16" s="94"/>
      <c r="J16" s="283"/>
      <c r="K16" s="283"/>
      <c r="L16" s="9"/>
      <c r="M16" s="9"/>
      <c r="N16" s="160"/>
      <c r="O16" s="174"/>
      <c r="P16" s="201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85"/>
      <c r="AB16" s="205"/>
    </row>
    <row r="17" spans="1:28" ht="30" customHeight="1" x14ac:dyDescent="0.2">
      <c r="A17" s="53" t="s">
        <v>70</v>
      </c>
      <c r="B17" s="37" t="s">
        <v>25</v>
      </c>
      <c r="C17" s="41">
        <v>10770385.369999999</v>
      </c>
      <c r="D17" s="42">
        <v>90</v>
      </c>
      <c r="E17" s="191">
        <v>10824507.91</v>
      </c>
      <c r="F17" s="188">
        <v>0.995</v>
      </c>
      <c r="G17" s="43"/>
      <c r="H17" s="5"/>
      <c r="I17" s="2"/>
      <c r="J17" s="1"/>
      <c r="K17" s="287"/>
      <c r="L17" s="288"/>
      <c r="M17" s="87"/>
      <c r="N17" s="88"/>
      <c r="O17" s="174"/>
      <c r="P17" s="201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85"/>
      <c r="AB17" s="205"/>
    </row>
    <row r="18" spans="1:28" ht="30" customHeight="1" x14ac:dyDescent="0.2">
      <c r="A18" s="158" t="s">
        <v>71</v>
      </c>
      <c r="B18" s="44" t="s">
        <v>26</v>
      </c>
      <c r="C18" s="38">
        <v>22619051.5</v>
      </c>
      <c r="D18" s="39">
        <v>15</v>
      </c>
      <c r="E18" s="191">
        <v>22732715.079999998</v>
      </c>
      <c r="F18" s="188">
        <v>0.995</v>
      </c>
      <c r="G18" s="43"/>
      <c r="H18" s="5"/>
      <c r="I18" s="2"/>
      <c r="J18" s="287"/>
      <c r="K18" s="287"/>
      <c r="L18" s="288"/>
      <c r="M18" s="288"/>
      <c r="N18" s="88"/>
      <c r="O18" s="174"/>
      <c r="P18" s="201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85"/>
      <c r="AB18" s="205"/>
    </row>
    <row r="19" spans="1:28" s="20" customFormat="1" ht="30" customHeight="1" x14ac:dyDescent="0.2">
      <c r="A19" s="53" t="s">
        <v>72</v>
      </c>
      <c r="B19" s="44" t="s">
        <v>27</v>
      </c>
      <c r="C19" s="45">
        <f>5065925.87+893986.91</f>
        <v>5959912.7800000003</v>
      </c>
      <c r="D19" s="39">
        <v>70</v>
      </c>
      <c r="E19" s="189"/>
      <c r="F19" s="188">
        <v>0.995</v>
      </c>
      <c r="G19" s="43"/>
      <c r="H19" s="5"/>
      <c r="I19" s="2"/>
      <c r="J19" s="287"/>
      <c r="K19" s="287"/>
      <c r="L19" s="288"/>
      <c r="M19" s="288"/>
      <c r="N19" s="88"/>
      <c r="O19" s="174"/>
      <c r="P19" s="201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85"/>
      <c r="AB19" s="205"/>
    </row>
    <row r="20" spans="1:28" ht="30" customHeight="1" x14ac:dyDescent="0.2">
      <c r="A20" s="158" t="s">
        <v>73</v>
      </c>
      <c r="B20" s="44" t="s">
        <v>2</v>
      </c>
      <c r="C20" s="38">
        <f>27736475.45+13562624.39</f>
        <v>41299099.840000004</v>
      </c>
      <c r="D20" s="39">
        <v>4</v>
      </c>
      <c r="E20" s="189"/>
      <c r="F20" s="188">
        <v>0.995</v>
      </c>
      <c r="G20" s="43"/>
      <c r="H20" s="5"/>
      <c r="I20" s="2"/>
      <c r="J20" s="1"/>
      <c r="K20" s="287"/>
      <c r="L20" s="288"/>
      <c r="M20" s="288"/>
      <c r="N20" s="88"/>
      <c r="O20" s="174"/>
      <c r="P20" s="201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185"/>
      <c r="AB20" s="205"/>
    </row>
    <row r="21" spans="1:28" ht="30" customHeight="1" x14ac:dyDescent="0.2">
      <c r="A21" s="53" t="s">
        <v>75</v>
      </c>
      <c r="B21" s="44" t="s">
        <v>28</v>
      </c>
      <c r="C21" s="38"/>
      <c r="D21" s="39"/>
      <c r="E21" s="189"/>
      <c r="F21" s="188"/>
      <c r="G21" s="43"/>
      <c r="H21" s="5"/>
      <c r="I21" s="2"/>
      <c r="J21" s="1"/>
      <c r="K21" s="287"/>
      <c r="L21" s="288"/>
      <c r="M21" s="288"/>
      <c r="N21" s="88"/>
      <c r="O21" s="174"/>
      <c r="P21" s="201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85"/>
      <c r="AB21" s="205"/>
    </row>
    <row r="22" spans="1:28" ht="30" customHeight="1" x14ac:dyDescent="0.2">
      <c r="A22" s="158" t="s">
        <v>77</v>
      </c>
      <c r="B22" s="44" t="s">
        <v>109</v>
      </c>
      <c r="C22" s="38"/>
      <c r="D22" s="39"/>
      <c r="E22" s="189"/>
      <c r="F22" s="188"/>
      <c r="G22" s="43"/>
      <c r="H22" s="5"/>
      <c r="I22" s="2"/>
      <c r="J22" s="1"/>
      <c r="K22" s="287"/>
      <c r="L22" s="288"/>
      <c r="M22" s="288"/>
      <c r="N22" s="88"/>
      <c r="O22" s="174"/>
      <c r="P22" s="201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85"/>
      <c r="AB22" s="205"/>
    </row>
    <row r="23" spans="1:28" s="20" customFormat="1" ht="30" customHeight="1" x14ac:dyDescent="0.2">
      <c r="A23" s="53" t="s">
        <v>79</v>
      </c>
      <c r="B23" s="46" t="s">
        <v>110</v>
      </c>
      <c r="C23" s="47">
        <f>4034674.25+712001.34</f>
        <v>4746675.59</v>
      </c>
      <c r="D23" s="48">
        <v>65</v>
      </c>
      <c r="E23" s="190"/>
      <c r="F23" s="188">
        <v>0.995</v>
      </c>
      <c r="G23" s="43"/>
      <c r="H23" s="5"/>
      <c r="I23" s="2"/>
      <c r="J23" s="287"/>
      <c r="K23" s="287"/>
      <c r="L23" s="288"/>
      <c r="M23" s="288"/>
      <c r="N23" s="88"/>
      <c r="O23" s="174"/>
      <c r="P23" s="201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85"/>
      <c r="AB23" s="205"/>
    </row>
    <row r="24" spans="1:28" s="20" customFormat="1" ht="30" customHeight="1" x14ac:dyDescent="0.2">
      <c r="A24" s="158" t="s">
        <v>80</v>
      </c>
      <c r="B24" s="44" t="s">
        <v>111</v>
      </c>
      <c r="C24" s="38">
        <v>15760350.48</v>
      </c>
      <c r="D24" s="39">
        <v>45</v>
      </c>
      <c r="E24" s="189"/>
      <c r="F24" s="188">
        <v>0.995</v>
      </c>
      <c r="G24" s="43"/>
      <c r="H24" s="5"/>
      <c r="I24" s="2"/>
      <c r="J24" s="287"/>
      <c r="K24" s="287"/>
      <c r="L24" s="288"/>
      <c r="M24" s="288"/>
      <c r="N24" s="88"/>
      <c r="O24" s="174"/>
      <c r="P24" s="201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85"/>
      <c r="AB24" s="205"/>
    </row>
    <row r="25" spans="1:28" s="20" customFormat="1" ht="30" customHeight="1" x14ac:dyDescent="0.2">
      <c r="A25" s="53" t="s">
        <v>81</v>
      </c>
      <c r="B25" s="44" t="s">
        <v>112</v>
      </c>
      <c r="C25" s="38"/>
      <c r="D25" s="39"/>
      <c r="E25" s="189"/>
      <c r="F25" s="188"/>
      <c r="G25" s="43"/>
      <c r="H25" s="5"/>
      <c r="I25" s="2"/>
      <c r="J25" s="287"/>
      <c r="K25" s="287"/>
      <c r="L25" s="288"/>
      <c r="M25" s="288"/>
      <c r="N25" s="289"/>
      <c r="O25" s="174"/>
      <c r="P25" s="295"/>
      <c r="Q25" s="293"/>
      <c r="R25" s="293"/>
      <c r="S25" s="293"/>
      <c r="T25" s="293"/>
      <c r="U25" s="296"/>
      <c r="V25" s="34"/>
      <c r="W25" s="34"/>
      <c r="X25" s="34"/>
      <c r="Y25" s="34"/>
      <c r="Z25" s="34"/>
      <c r="AA25" s="185"/>
      <c r="AB25" s="205"/>
    </row>
    <row r="26" spans="1:28" ht="30" customHeight="1" x14ac:dyDescent="0.2">
      <c r="A26" s="158" t="s">
        <v>82</v>
      </c>
      <c r="B26" s="46" t="s">
        <v>29</v>
      </c>
      <c r="C26" s="38">
        <v>2600326.96</v>
      </c>
      <c r="D26" s="39">
        <v>70</v>
      </c>
      <c r="E26" s="189"/>
      <c r="F26" s="188">
        <v>0.995</v>
      </c>
      <c r="G26" s="43"/>
      <c r="H26" s="5"/>
      <c r="I26" s="2"/>
      <c r="J26" s="287"/>
      <c r="K26" s="287"/>
      <c r="L26" s="288"/>
      <c r="M26" s="288"/>
      <c r="N26" s="289"/>
      <c r="O26" s="174"/>
      <c r="P26" s="295"/>
      <c r="Q26" s="293"/>
      <c r="R26" s="293"/>
      <c r="S26" s="293"/>
      <c r="T26" s="293"/>
      <c r="U26" s="296"/>
      <c r="V26" s="34"/>
      <c r="W26" s="34"/>
      <c r="X26" s="34"/>
      <c r="Y26" s="34"/>
      <c r="Z26" s="34"/>
      <c r="AA26" s="185"/>
      <c r="AB26" s="205"/>
    </row>
    <row r="27" spans="1:28" ht="38.25" customHeight="1" x14ac:dyDescent="0.2">
      <c r="A27" s="53" t="s">
        <v>84</v>
      </c>
      <c r="B27" s="44" t="s">
        <v>30</v>
      </c>
      <c r="C27" s="38">
        <v>3003509.65</v>
      </c>
      <c r="D27" s="39">
        <v>15</v>
      </c>
      <c r="E27" s="189"/>
      <c r="F27" s="188">
        <v>0.995</v>
      </c>
      <c r="G27" s="43"/>
      <c r="H27" s="5"/>
      <c r="I27" s="2"/>
      <c r="J27" s="1"/>
      <c r="K27" s="287"/>
      <c r="L27" s="288"/>
      <c r="M27" s="288"/>
      <c r="N27" s="88"/>
      <c r="O27" s="174"/>
      <c r="P27" s="201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85"/>
      <c r="AB27" s="205"/>
    </row>
    <row r="28" spans="1:28" ht="33" customHeight="1" x14ac:dyDescent="0.2">
      <c r="A28" s="158" t="s">
        <v>85</v>
      </c>
      <c r="B28" s="44" t="s">
        <v>113</v>
      </c>
      <c r="C28" s="38"/>
      <c r="D28" s="39"/>
      <c r="E28" s="189"/>
      <c r="F28" s="188"/>
      <c r="G28" s="43"/>
      <c r="H28" s="5"/>
      <c r="I28" s="2"/>
      <c r="J28" s="1"/>
      <c r="K28" s="287"/>
      <c r="L28" s="288"/>
      <c r="M28" s="288"/>
      <c r="N28" s="88"/>
      <c r="O28" s="174"/>
      <c r="P28" s="201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85"/>
      <c r="AB28" s="205"/>
    </row>
    <row r="29" spans="1:28" ht="30" customHeight="1" x14ac:dyDescent="0.2">
      <c r="A29" s="53" t="s">
        <v>89</v>
      </c>
      <c r="B29" s="44" t="s">
        <v>31</v>
      </c>
      <c r="C29" s="38"/>
      <c r="D29" s="39"/>
      <c r="E29" s="189"/>
      <c r="F29" s="188"/>
      <c r="G29" s="43"/>
      <c r="H29" s="5"/>
      <c r="I29" s="2"/>
      <c r="J29" s="1"/>
      <c r="K29" s="287"/>
      <c r="L29" s="288"/>
      <c r="M29" s="288"/>
      <c r="N29" s="88"/>
      <c r="O29" s="174"/>
      <c r="P29" s="201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85"/>
      <c r="AB29" s="205"/>
    </row>
    <row r="30" spans="1:28" ht="30" customHeight="1" x14ac:dyDescent="0.2">
      <c r="A30" s="158" t="s">
        <v>52</v>
      </c>
      <c r="B30" s="44" t="s">
        <v>114</v>
      </c>
      <c r="C30" s="38"/>
      <c r="D30" s="39"/>
      <c r="E30" s="189"/>
      <c r="F30" s="188"/>
      <c r="G30" s="43"/>
      <c r="H30" s="5"/>
      <c r="I30" s="2"/>
      <c r="J30" s="1"/>
      <c r="K30" s="287"/>
      <c r="L30" s="288"/>
      <c r="M30" s="288"/>
      <c r="N30" s="88"/>
      <c r="O30" s="174"/>
      <c r="P30" s="201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85"/>
      <c r="AB30" s="205"/>
    </row>
    <row r="31" spans="1:28" ht="30" customHeight="1" thickBot="1" x14ac:dyDescent="0.25">
      <c r="A31" s="53" t="s">
        <v>53</v>
      </c>
      <c r="B31" s="44" t="s">
        <v>115</v>
      </c>
      <c r="C31" s="38">
        <f>45678916.94+11079180.66</f>
        <v>56758097.599999994</v>
      </c>
      <c r="D31" s="39">
        <v>60</v>
      </c>
      <c r="E31" s="189"/>
      <c r="F31" s="188">
        <v>0.995</v>
      </c>
      <c r="G31" s="43"/>
      <c r="H31" s="5"/>
      <c r="I31" s="2"/>
      <c r="J31" s="287"/>
      <c r="K31" s="287"/>
      <c r="L31" s="288"/>
      <c r="M31" s="288"/>
      <c r="N31" s="289"/>
      <c r="O31" s="174"/>
      <c r="P31" s="297"/>
      <c r="Q31" s="294"/>
      <c r="R31" s="298"/>
      <c r="S31" s="298"/>
      <c r="T31" s="294"/>
      <c r="U31" s="294"/>
      <c r="V31" s="34"/>
      <c r="W31" s="34"/>
      <c r="X31" s="34"/>
      <c r="Y31" s="34"/>
      <c r="Z31" s="34"/>
      <c r="AA31" s="185"/>
      <c r="AB31" s="206"/>
    </row>
    <row r="32" spans="1:28" ht="30" customHeight="1" thickBot="1" x14ac:dyDescent="0.25">
      <c r="A32" s="243" t="s">
        <v>35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5"/>
    </row>
    <row r="33" spans="1:28" ht="30" customHeight="1" x14ac:dyDescent="0.2">
      <c r="A33" s="68" t="s">
        <v>33</v>
      </c>
      <c r="B33" s="71" t="s">
        <v>104</v>
      </c>
      <c r="C33" s="69">
        <v>898479.31</v>
      </c>
      <c r="D33" s="209"/>
      <c r="E33" s="149"/>
      <c r="F33" s="210"/>
      <c r="G33" s="208"/>
      <c r="H33" s="93"/>
      <c r="I33" s="94"/>
      <c r="J33" s="10"/>
      <c r="K33" s="95"/>
      <c r="L33" s="96"/>
      <c r="M33" s="96"/>
      <c r="N33" s="96"/>
      <c r="O33" s="174"/>
      <c r="P33" s="178"/>
      <c r="Q33" s="290"/>
      <c r="R33" s="290"/>
      <c r="S33" s="96"/>
      <c r="T33" s="96"/>
      <c r="U33" s="96"/>
      <c r="V33" s="96"/>
      <c r="W33" s="96"/>
      <c r="X33" s="96"/>
      <c r="Y33" s="96"/>
      <c r="Z33" s="96"/>
      <c r="AA33" s="173"/>
      <c r="AB33" s="179"/>
    </row>
    <row r="34" spans="1:28" ht="30" customHeight="1" x14ac:dyDescent="0.2">
      <c r="A34" s="68" t="s">
        <v>22</v>
      </c>
      <c r="B34" s="44" t="s">
        <v>105</v>
      </c>
      <c r="C34" s="69">
        <v>715579.24</v>
      </c>
      <c r="D34" s="209"/>
      <c r="E34" s="63"/>
      <c r="F34" s="211"/>
      <c r="G34" s="40"/>
      <c r="H34" s="75"/>
      <c r="I34" s="2"/>
      <c r="J34" s="3"/>
      <c r="K34" s="6"/>
      <c r="L34" s="21"/>
      <c r="M34" s="21"/>
      <c r="N34" s="21"/>
      <c r="O34" s="175"/>
      <c r="P34" s="177"/>
      <c r="Q34" s="21"/>
      <c r="R34" s="21"/>
      <c r="S34" s="291"/>
      <c r="T34" s="291"/>
      <c r="U34" s="21"/>
      <c r="V34" s="21"/>
      <c r="W34" s="21"/>
      <c r="X34" s="21"/>
      <c r="Y34" s="21"/>
      <c r="Z34" s="21"/>
      <c r="AA34" s="166"/>
      <c r="AB34" s="179"/>
    </row>
    <row r="35" spans="1:28" ht="30" customHeight="1" x14ac:dyDescent="0.2">
      <c r="A35" s="68" t="s">
        <v>34</v>
      </c>
      <c r="B35" s="44" t="s">
        <v>36</v>
      </c>
      <c r="C35" s="69">
        <v>2952677.87</v>
      </c>
      <c r="D35" s="209"/>
      <c r="E35" s="63"/>
      <c r="F35" s="211"/>
      <c r="G35" s="40"/>
      <c r="H35" s="75"/>
      <c r="I35" s="2"/>
      <c r="J35" s="3"/>
      <c r="K35" s="6"/>
      <c r="L35" s="21"/>
      <c r="M35" s="21"/>
      <c r="N35" s="21"/>
      <c r="O35" s="175"/>
      <c r="P35" s="177"/>
      <c r="Q35" s="21"/>
      <c r="R35" s="21"/>
      <c r="S35" s="21"/>
      <c r="T35" s="291"/>
      <c r="U35" s="291"/>
      <c r="V35" s="291"/>
      <c r="W35" s="291"/>
      <c r="X35" s="21"/>
      <c r="Y35" s="21"/>
      <c r="Z35" s="21"/>
      <c r="AA35" s="166"/>
      <c r="AB35" s="179"/>
    </row>
    <row r="36" spans="1:28" ht="39.950000000000003" customHeight="1" x14ac:dyDescent="0.2">
      <c r="A36" s="68" t="s">
        <v>67</v>
      </c>
      <c r="B36" s="44" t="s">
        <v>106</v>
      </c>
      <c r="C36" s="38">
        <v>2987977.35</v>
      </c>
      <c r="D36" s="209"/>
      <c r="E36" s="63"/>
      <c r="F36" s="211"/>
      <c r="G36" s="40"/>
      <c r="H36" s="75"/>
      <c r="I36" s="2"/>
      <c r="J36" s="3"/>
      <c r="K36" s="6"/>
      <c r="L36" s="21"/>
      <c r="M36" s="21"/>
      <c r="N36" s="21"/>
      <c r="O36" s="175"/>
      <c r="P36" s="177"/>
      <c r="Q36" s="21"/>
      <c r="R36" s="21"/>
      <c r="S36" s="21"/>
      <c r="T36" s="21"/>
      <c r="U36" s="21"/>
      <c r="V36" s="21"/>
      <c r="W36" s="291"/>
      <c r="X36" s="291"/>
      <c r="Y36" s="291"/>
      <c r="Z36" s="21"/>
      <c r="AA36" s="166"/>
      <c r="AB36" s="179"/>
    </row>
    <row r="37" spans="1:28" ht="30" customHeight="1" x14ac:dyDescent="0.2">
      <c r="A37" s="68" t="s">
        <v>69</v>
      </c>
      <c r="B37" s="46" t="s">
        <v>107</v>
      </c>
      <c r="C37" s="47">
        <v>3909365.87</v>
      </c>
      <c r="D37" s="212"/>
      <c r="E37" s="63"/>
      <c r="F37" s="211"/>
      <c r="G37" s="40"/>
      <c r="H37" s="75"/>
      <c r="I37" s="2"/>
      <c r="J37" s="3"/>
      <c r="K37" s="6"/>
      <c r="L37" s="21"/>
      <c r="M37" s="21"/>
      <c r="N37" s="21"/>
      <c r="O37" s="175"/>
      <c r="P37" s="177"/>
      <c r="Q37" s="21"/>
      <c r="R37" s="21"/>
      <c r="S37" s="21"/>
      <c r="T37" s="21"/>
      <c r="U37" s="21"/>
      <c r="V37" s="291"/>
      <c r="W37" s="291"/>
      <c r="X37" s="291"/>
      <c r="Y37" s="291"/>
      <c r="Z37" s="21"/>
      <c r="AA37" s="166"/>
      <c r="AB37" s="179"/>
    </row>
    <row r="38" spans="1:28" ht="30" customHeight="1" x14ac:dyDescent="0.2">
      <c r="A38" s="68" t="s">
        <v>70</v>
      </c>
      <c r="B38" s="44" t="s">
        <v>108</v>
      </c>
      <c r="C38" s="38">
        <v>11134854.93</v>
      </c>
      <c r="D38" s="212"/>
      <c r="E38" s="63"/>
      <c r="F38" s="211"/>
      <c r="G38" s="40"/>
      <c r="H38" s="75"/>
      <c r="I38" s="2"/>
      <c r="J38" s="3"/>
      <c r="K38" s="6"/>
      <c r="L38" s="21"/>
      <c r="M38" s="21"/>
      <c r="N38" s="21"/>
      <c r="O38" s="175"/>
      <c r="P38" s="177"/>
      <c r="Q38" s="21"/>
      <c r="R38" s="291"/>
      <c r="S38" s="291"/>
      <c r="T38" s="291"/>
      <c r="U38" s="291"/>
      <c r="V38" s="291"/>
      <c r="W38" s="291"/>
      <c r="X38" s="21"/>
      <c r="Y38" s="21"/>
      <c r="Z38" s="21"/>
      <c r="AA38" s="166"/>
      <c r="AB38" s="179"/>
    </row>
    <row r="39" spans="1:28" ht="30" customHeight="1" x14ac:dyDescent="0.2">
      <c r="A39" s="68" t="s">
        <v>71</v>
      </c>
      <c r="B39" s="44" t="s">
        <v>37</v>
      </c>
      <c r="C39" s="38">
        <v>38961718.359999999</v>
      </c>
      <c r="D39" s="212"/>
      <c r="E39" s="63"/>
      <c r="F39" s="211"/>
      <c r="G39" s="40"/>
      <c r="H39" s="75"/>
      <c r="I39" s="2"/>
      <c r="J39" s="3"/>
      <c r="K39" s="6"/>
      <c r="L39" s="21"/>
      <c r="M39" s="21"/>
      <c r="N39" s="21"/>
      <c r="O39" s="175"/>
      <c r="P39" s="177"/>
      <c r="Q39" s="21"/>
      <c r="R39" s="291"/>
      <c r="S39" s="291"/>
      <c r="T39" s="291"/>
      <c r="U39" s="291"/>
      <c r="V39" s="291"/>
      <c r="W39" s="291"/>
      <c r="X39" s="291"/>
      <c r="Y39" s="291"/>
      <c r="Z39" s="21"/>
      <c r="AA39" s="166"/>
      <c r="AB39" s="179"/>
    </row>
    <row r="40" spans="1:28" ht="30" customHeight="1" x14ac:dyDescent="0.2">
      <c r="A40" s="68" t="s">
        <v>72</v>
      </c>
      <c r="B40" s="46" t="s">
        <v>38</v>
      </c>
      <c r="C40" s="38">
        <v>54251572.619999997</v>
      </c>
      <c r="D40" s="212"/>
      <c r="E40" s="63"/>
      <c r="F40" s="211"/>
      <c r="G40" s="40"/>
      <c r="H40" s="75"/>
      <c r="I40" s="2"/>
      <c r="J40" s="3"/>
      <c r="K40" s="6"/>
      <c r="L40" s="21"/>
      <c r="M40" s="21"/>
      <c r="N40" s="21"/>
      <c r="O40" s="175"/>
      <c r="P40" s="177"/>
      <c r="Q40" s="21"/>
      <c r="R40" s="291"/>
      <c r="S40" s="291"/>
      <c r="T40" s="291"/>
      <c r="U40" s="291"/>
      <c r="V40" s="291"/>
      <c r="W40" s="291"/>
      <c r="X40" s="291"/>
      <c r="Y40" s="291"/>
      <c r="Z40" s="21"/>
      <c r="AA40" s="166"/>
      <c r="AB40" s="179"/>
    </row>
    <row r="41" spans="1:28" ht="45" customHeight="1" x14ac:dyDescent="0.2">
      <c r="A41" s="68" t="s">
        <v>73</v>
      </c>
      <c r="B41" s="71" t="s">
        <v>39</v>
      </c>
      <c r="C41" s="38">
        <v>407799.42</v>
      </c>
      <c r="D41" s="212"/>
      <c r="E41" s="63"/>
      <c r="F41" s="211"/>
      <c r="G41" s="40"/>
      <c r="H41" s="75"/>
      <c r="I41" s="2"/>
      <c r="J41" s="3"/>
      <c r="K41" s="6"/>
      <c r="L41" s="21"/>
      <c r="M41" s="21"/>
      <c r="N41" s="21"/>
      <c r="O41" s="175"/>
      <c r="P41" s="177"/>
      <c r="Q41" s="21"/>
      <c r="R41" s="21"/>
      <c r="S41" s="21"/>
      <c r="T41" s="291"/>
      <c r="U41" s="291"/>
      <c r="V41" s="21"/>
      <c r="W41" s="21"/>
      <c r="X41" s="21"/>
      <c r="Y41" s="21"/>
      <c r="Z41" s="21"/>
      <c r="AA41" s="166"/>
      <c r="AB41" s="179"/>
    </row>
    <row r="42" spans="1:28" ht="45" customHeight="1" x14ac:dyDescent="0.2">
      <c r="A42" s="68" t="s">
        <v>75</v>
      </c>
      <c r="B42" s="44" t="s">
        <v>40</v>
      </c>
      <c r="C42" s="38">
        <v>10411989.16</v>
      </c>
      <c r="D42" s="212"/>
      <c r="E42" s="63"/>
      <c r="F42" s="211"/>
      <c r="G42" s="40"/>
      <c r="H42" s="75"/>
      <c r="I42" s="2"/>
      <c r="J42" s="3"/>
      <c r="K42" s="6"/>
      <c r="L42" s="21"/>
      <c r="M42" s="21"/>
      <c r="N42" s="21"/>
      <c r="O42" s="175"/>
      <c r="P42" s="177"/>
      <c r="Q42" s="21"/>
      <c r="R42" s="21"/>
      <c r="S42" s="291"/>
      <c r="T42" s="291"/>
      <c r="U42" s="291"/>
      <c r="V42" s="291"/>
      <c r="W42" s="291"/>
      <c r="X42" s="291"/>
      <c r="Y42" s="291"/>
      <c r="Z42" s="21"/>
      <c r="AA42" s="166"/>
      <c r="AB42" s="179"/>
    </row>
    <row r="43" spans="1:28" ht="30" customHeight="1" x14ac:dyDescent="0.2">
      <c r="A43" s="68" t="s">
        <v>77</v>
      </c>
      <c r="B43" s="44" t="s">
        <v>41</v>
      </c>
      <c r="C43" s="38">
        <v>35025438.850000001</v>
      </c>
      <c r="D43" s="212"/>
      <c r="E43" s="63"/>
      <c r="F43" s="211"/>
      <c r="G43" s="40"/>
      <c r="H43" s="75"/>
      <c r="I43" s="2"/>
      <c r="J43" s="3"/>
      <c r="K43" s="6"/>
      <c r="L43" s="21"/>
      <c r="M43" s="21"/>
      <c r="N43" s="21"/>
      <c r="O43" s="175"/>
      <c r="P43" s="177"/>
      <c r="Q43" s="21"/>
      <c r="R43" s="21"/>
      <c r="S43" s="21"/>
      <c r="T43" s="291"/>
      <c r="U43" s="291"/>
      <c r="V43" s="291"/>
      <c r="W43" s="291"/>
      <c r="X43" s="291"/>
      <c r="Y43" s="291"/>
      <c r="Z43" s="291"/>
      <c r="AA43" s="166"/>
      <c r="AB43" s="179"/>
    </row>
    <row r="44" spans="1:28" ht="30" customHeight="1" x14ac:dyDescent="0.2">
      <c r="A44" s="68" t="s">
        <v>79</v>
      </c>
      <c r="B44" s="44" t="s">
        <v>42</v>
      </c>
      <c r="C44" s="38">
        <v>509821.77</v>
      </c>
      <c r="D44" s="212"/>
      <c r="E44" s="63"/>
      <c r="F44" s="211"/>
      <c r="G44" s="40"/>
      <c r="H44" s="75"/>
      <c r="I44" s="2"/>
      <c r="J44" s="3"/>
      <c r="K44" s="6"/>
      <c r="L44" s="21"/>
      <c r="M44" s="21"/>
      <c r="N44" s="21"/>
      <c r="O44" s="175"/>
      <c r="P44" s="177"/>
      <c r="Q44" s="21"/>
      <c r="R44" s="21"/>
      <c r="S44" s="21"/>
      <c r="T44" s="21"/>
      <c r="U44" s="21"/>
      <c r="V44" s="21"/>
      <c r="W44" s="21"/>
      <c r="X44" s="21"/>
      <c r="Y44" s="291"/>
      <c r="Z44" s="291"/>
      <c r="AA44" s="166"/>
      <c r="AB44" s="179"/>
    </row>
    <row r="45" spans="1:28" ht="30" customHeight="1" x14ac:dyDescent="0.2">
      <c r="A45" s="68" t="s">
        <v>80</v>
      </c>
      <c r="B45" s="44" t="s">
        <v>43</v>
      </c>
      <c r="C45" s="38">
        <v>348199.82</v>
      </c>
      <c r="D45" s="212"/>
      <c r="E45" s="63"/>
      <c r="F45" s="211"/>
      <c r="G45" s="40"/>
      <c r="H45" s="75"/>
      <c r="I45" s="2"/>
      <c r="J45" s="3"/>
      <c r="K45" s="6"/>
      <c r="L45" s="21"/>
      <c r="M45" s="21"/>
      <c r="N45" s="21"/>
      <c r="O45" s="175"/>
      <c r="P45" s="177"/>
      <c r="Q45" s="21"/>
      <c r="R45" s="21"/>
      <c r="S45" s="21"/>
      <c r="T45" s="21"/>
      <c r="U45" s="21"/>
      <c r="V45" s="21"/>
      <c r="W45" s="21"/>
      <c r="X45" s="21"/>
      <c r="Y45" s="21"/>
      <c r="Z45" s="291"/>
      <c r="AA45" s="166"/>
      <c r="AB45" s="179"/>
    </row>
    <row r="46" spans="1:28" ht="30" customHeight="1" x14ac:dyDescent="0.2">
      <c r="A46" s="68" t="s">
        <v>81</v>
      </c>
      <c r="B46" s="44" t="s">
        <v>44</v>
      </c>
      <c r="C46" s="38">
        <v>13890223.130000001</v>
      </c>
      <c r="D46" s="212"/>
      <c r="E46" s="63"/>
      <c r="F46" s="211"/>
      <c r="G46" s="40"/>
      <c r="H46" s="75"/>
      <c r="I46" s="2"/>
      <c r="J46" s="3"/>
      <c r="K46" s="6"/>
      <c r="L46" s="21"/>
      <c r="M46" s="21"/>
      <c r="N46" s="21"/>
      <c r="O46" s="175"/>
      <c r="P46" s="177"/>
      <c r="Q46" s="21"/>
      <c r="R46" s="21"/>
      <c r="S46" s="21"/>
      <c r="T46" s="21"/>
      <c r="U46" s="21"/>
      <c r="V46" s="291"/>
      <c r="W46" s="291"/>
      <c r="X46" s="291"/>
      <c r="Y46" s="291"/>
      <c r="Z46" s="291"/>
      <c r="AA46" s="166"/>
      <c r="AB46" s="179"/>
    </row>
    <row r="47" spans="1:28" ht="30" customHeight="1" x14ac:dyDescent="0.2">
      <c r="A47" s="68" t="s">
        <v>82</v>
      </c>
      <c r="B47" s="44" t="s">
        <v>45</v>
      </c>
      <c r="C47" s="38">
        <v>561151.74</v>
      </c>
      <c r="D47" s="212"/>
      <c r="E47" s="63"/>
      <c r="F47" s="211"/>
      <c r="G47" s="40"/>
      <c r="H47" s="75"/>
      <c r="I47" s="2"/>
      <c r="J47" s="3"/>
      <c r="K47" s="6"/>
      <c r="L47" s="21"/>
      <c r="M47" s="21"/>
      <c r="N47" s="21"/>
      <c r="O47" s="175"/>
      <c r="P47" s="177"/>
      <c r="Q47" s="21"/>
      <c r="R47" s="21"/>
      <c r="S47" s="21"/>
      <c r="T47" s="21"/>
      <c r="U47" s="21"/>
      <c r="V47" s="21"/>
      <c r="W47" s="21"/>
      <c r="X47" s="21"/>
      <c r="Y47" s="21"/>
      <c r="Z47" s="291"/>
      <c r="AA47" s="292"/>
      <c r="AB47" s="179"/>
    </row>
    <row r="48" spans="1:28" ht="30" customHeight="1" x14ac:dyDescent="0.2">
      <c r="A48" s="68" t="s">
        <v>84</v>
      </c>
      <c r="B48" s="44" t="s">
        <v>46</v>
      </c>
      <c r="C48" s="38">
        <v>271641.88</v>
      </c>
      <c r="D48" s="212"/>
      <c r="E48" s="63"/>
      <c r="F48" s="211"/>
      <c r="G48" s="40"/>
      <c r="H48" s="75"/>
      <c r="I48" s="2"/>
      <c r="J48" s="3"/>
      <c r="K48" s="6"/>
      <c r="L48" s="21"/>
      <c r="M48" s="21"/>
      <c r="N48" s="21"/>
      <c r="O48" s="175"/>
      <c r="P48" s="177"/>
      <c r="Q48" s="21"/>
      <c r="R48" s="21"/>
      <c r="S48" s="21"/>
      <c r="T48" s="21"/>
      <c r="U48" s="21"/>
      <c r="V48" s="21"/>
      <c r="W48" s="21"/>
      <c r="X48" s="21"/>
      <c r="Y48" s="21"/>
      <c r="Z48" s="291"/>
      <c r="AA48" s="292"/>
      <c r="AB48" s="179"/>
    </row>
    <row r="49" spans="1:28" ht="30" customHeight="1" x14ac:dyDescent="0.2">
      <c r="A49" s="68" t="s">
        <v>85</v>
      </c>
      <c r="B49" s="44" t="s">
        <v>47</v>
      </c>
      <c r="C49" s="38">
        <v>405704.74</v>
      </c>
      <c r="D49" s="212"/>
      <c r="E49" s="63"/>
      <c r="F49" s="211"/>
      <c r="G49" s="40"/>
      <c r="H49" s="75"/>
      <c r="I49" s="2"/>
      <c r="J49" s="3"/>
      <c r="K49" s="6"/>
      <c r="L49" s="21"/>
      <c r="M49" s="21"/>
      <c r="N49" s="21"/>
      <c r="O49" s="175"/>
      <c r="P49" s="177"/>
      <c r="Q49" s="21"/>
      <c r="R49" s="21"/>
      <c r="S49" s="21"/>
      <c r="T49" s="21"/>
      <c r="U49" s="21"/>
      <c r="V49" s="21"/>
      <c r="W49" s="21"/>
      <c r="X49" s="21"/>
      <c r="Y49" s="21"/>
      <c r="Z49" s="291"/>
      <c r="AA49" s="292"/>
      <c r="AB49" s="179"/>
    </row>
    <row r="50" spans="1:28" ht="30" customHeight="1" x14ac:dyDescent="0.2">
      <c r="A50" s="68" t="s">
        <v>89</v>
      </c>
      <c r="B50" s="44" t="s">
        <v>48</v>
      </c>
      <c r="C50" s="38">
        <v>492827.9</v>
      </c>
      <c r="D50" s="212"/>
      <c r="E50" s="63"/>
      <c r="F50" s="211"/>
      <c r="G50" s="40"/>
      <c r="H50" s="75"/>
      <c r="I50" s="2"/>
      <c r="J50" s="3"/>
      <c r="K50" s="6"/>
      <c r="L50" s="21"/>
      <c r="M50" s="21"/>
      <c r="N50" s="21"/>
      <c r="O50" s="175"/>
      <c r="P50" s="177"/>
      <c r="Q50" s="21"/>
      <c r="R50" s="21"/>
      <c r="S50" s="21"/>
      <c r="T50" s="21"/>
      <c r="U50" s="21"/>
      <c r="V50" s="21"/>
      <c r="W50" s="21"/>
      <c r="X50" s="21"/>
      <c r="Y50" s="21"/>
      <c r="Z50" s="291"/>
      <c r="AA50" s="292"/>
      <c r="AB50" s="179"/>
    </row>
    <row r="51" spans="1:28" ht="30" customHeight="1" x14ac:dyDescent="0.2">
      <c r="A51" s="68" t="s">
        <v>52</v>
      </c>
      <c r="B51" s="44" t="s">
        <v>49</v>
      </c>
      <c r="C51" s="38">
        <v>117055.17</v>
      </c>
      <c r="D51" s="212"/>
      <c r="E51" s="63"/>
      <c r="F51" s="211"/>
      <c r="G51" s="40"/>
      <c r="H51" s="75"/>
      <c r="I51" s="2"/>
      <c r="J51" s="3"/>
      <c r="K51" s="6"/>
      <c r="L51" s="21"/>
      <c r="M51" s="21"/>
      <c r="N51" s="21"/>
      <c r="O51" s="175"/>
      <c r="P51" s="177"/>
      <c r="Q51" s="21"/>
      <c r="R51" s="21"/>
      <c r="S51" s="21"/>
      <c r="T51" s="21"/>
      <c r="U51" s="21"/>
      <c r="V51" s="21"/>
      <c r="W51" s="21"/>
      <c r="X51" s="21"/>
      <c r="Y51" s="21"/>
      <c r="Z51" s="291"/>
      <c r="AA51" s="292"/>
      <c r="AB51" s="179"/>
    </row>
    <row r="52" spans="1:28" ht="30" customHeight="1" x14ac:dyDescent="0.2">
      <c r="A52" s="68" t="s">
        <v>53</v>
      </c>
      <c r="B52" s="44" t="s">
        <v>50</v>
      </c>
      <c r="C52" s="38">
        <v>81717.429999999993</v>
      </c>
      <c r="D52" s="212"/>
      <c r="E52" s="63"/>
      <c r="F52" s="211"/>
      <c r="G52" s="40"/>
      <c r="H52" s="75"/>
      <c r="I52" s="2"/>
      <c r="J52" s="3"/>
      <c r="K52" s="6"/>
      <c r="L52" s="21"/>
      <c r="M52" s="21"/>
      <c r="N52" s="21"/>
      <c r="O52" s="175"/>
      <c r="P52" s="177"/>
      <c r="Q52" s="21"/>
      <c r="R52" s="21"/>
      <c r="S52" s="21"/>
      <c r="T52" s="21"/>
      <c r="U52" s="21"/>
      <c r="V52" s="21"/>
      <c r="W52" s="21"/>
      <c r="X52" s="21"/>
      <c r="Y52" s="21"/>
      <c r="Z52" s="291"/>
      <c r="AA52" s="292"/>
      <c r="AB52" s="179"/>
    </row>
    <row r="53" spans="1:28" ht="30" customHeight="1" x14ac:dyDescent="0.2">
      <c r="A53" s="68" t="s">
        <v>54</v>
      </c>
      <c r="B53" s="44" t="s">
        <v>51</v>
      </c>
      <c r="C53" s="38">
        <v>116533.56000000001</v>
      </c>
      <c r="D53" s="212"/>
      <c r="E53" s="63"/>
      <c r="F53" s="211"/>
      <c r="G53" s="40"/>
      <c r="H53" s="75"/>
      <c r="I53" s="2"/>
      <c r="J53" s="3"/>
      <c r="K53" s="6"/>
      <c r="L53" s="21"/>
      <c r="M53" s="21"/>
      <c r="N53" s="21"/>
      <c r="O53" s="175"/>
      <c r="P53" s="177"/>
      <c r="Q53" s="21"/>
      <c r="R53" s="21"/>
      <c r="S53" s="21"/>
      <c r="T53" s="21"/>
      <c r="U53" s="21"/>
      <c r="V53" s="21"/>
      <c r="W53" s="21"/>
      <c r="X53" s="21"/>
      <c r="Y53" s="21"/>
      <c r="Z53" s="291"/>
      <c r="AA53" s="292"/>
      <c r="AB53" s="179"/>
    </row>
    <row r="54" spans="1:28" ht="18.75" customHeight="1" x14ac:dyDescent="0.2">
      <c r="A54" s="7"/>
      <c r="C54" s="32"/>
      <c r="D54" s="32"/>
      <c r="E54" s="32"/>
      <c r="F54" s="32"/>
      <c r="G54" s="4"/>
      <c r="H54" s="202"/>
      <c r="I54" s="203"/>
      <c r="J54" s="202"/>
      <c r="K54" s="203"/>
    </row>
  </sheetData>
  <mergeCells count="18">
    <mergeCell ref="C12:G15"/>
    <mergeCell ref="A11:O11"/>
    <mergeCell ref="A32:AB32"/>
    <mergeCell ref="L2:AB2"/>
    <mergeCell ref="A5:AB5"/>
    <mergeCell ref="A6:K6"/>
    <mergeCell ref="A7:AB7"/>
    <mergeCell ref="A9:A10"/>
    <mergeCell ref="B9:B10"/>
    <mergeCell ref="C9:C10"/>
    <mergeCell ref="D9:D10"/>
    <mergeCell ref="G9:G10"/>
    <mergeCell ref="H9:N9"/>
    <mergeCell ref="P9:AA9"/>
    <mergeCell ref="AB9:AB10"/>
    <mergeCell ref="E9:E10"/>
    <mergeCell ref="F9:F10"/>
    <mergeCell ref="O9:O10"/>
  </mergeCells>
  <pageMargins left="0.51181102362204722" right="0.11811023622047245" top="0.94488188976377963" bottom="0.94488188976377963" header="0.31496062992125984" footer="0.31496062992125984"/>
  <pageSetup paperSize="9" scale="24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D63" workbookViewId="0">
      <selection activeCell="F69" sqref="F69:Q69"/>
    </sheetView>
  </sheetViews>
  <sheetFormatPr defaultRowHeight="15" x14ac:dyDescent="0.25"/>
  <cols>
    <col min="2" max="2" width="38.5703125" customWidth="1"/>
    <col min="3" max="17" width="15.7109375" customWidth="1"/>
  </cols>
  <sheetData>
    <row r="1" spans="1:17" x14ac:dyDescent="0.25">
      <c r="A1" s="214" t="s">
        <v>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5">
      <c r="A2" s="214" t="s">
        <v>23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5.75" thickBot="1" x14ac:dyDescent="0.3">
      <c r="A3" s="14"/>
      <c r="B3" s="15"/>
      <c r="C3" s="31"/>
      <c r="D3" s="100"/>
      <c r="E3" s="31"/>
      <c r="F3" s="31"/>
      <c r="G3" s="31"/>
      <c r="H3" s="31"/>
      <c r="I3" s="31"/>
      <c r="J3" s="31"/>
      <c r="K3" s="31"/>
      <c r="L3" s="17"/>
      <c r="M3" s="18"/>
      <c r="N3" s="17"/>
      <c r="O3" s="13"/>
      <c r="P3" s="13"/>
      <c r="Q3" s="13"/>
    </row>
    <row r="4" spans="1:17" ht="26.25" thickBot="1" x14ac:dyDescent="0.3">
      <c r="A4" s="246" t="s">
        <v>0</v>
      </c>
      <c r="B4" s="248" t="s">
        <v>92</v>
      </c>
      <c r="C4" s="250" t="s">
        <v>93</v>
      </c>
      <c r="D4" s="252" t="s">
        <v>94</v>
      </c>
      <c r="E4" s="254" t="s">
        <v>95</v>
      </c>
      <c r="F4" s="256" t="s">
        <v>58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</row>
    <row r="5" spans="1:17" ht="15.75" thickBot="1" x14ac:dyDescent="0.3">
      <c r="A5" s="247"/>
      <c r="B5" s="249"/>
      <c r="C5" s="251"/>
      <c r="D5" s="253"/>
      <c r="E5" s="255"/>
      <c r="F5" s="101" t="s">
        <v>14</v>
      </c>
      <c r="G5" s="102" t="s">
        <v>15</v>
      </c>
      <c r="H5" s="102" t="s">
        <v>4</v>
      </c>
      <c r="I5" s="102" t="s">
        <v>5</v>
      </c>
      <c r="J5" s="102" t="s">
        <v>6</v>
      </c>
      <c r="K5" s="102" t="s">
        <v>7</v>
      </c>
      <c r="L5" s="103" t="s">
        <v>8</v>
      </c>
      <c r="M5" s="104" t="s">
        <v>9</v>
      </c>
      <c r="N5" s="105" t="s">
        <v>10</v>
      </c>
      <c r="O5" s="104" t="s">
        <v>11</v>
      </c>
      <c r="P5" s="104" t="s">
        <v>12</v>
      </c>
      <c r="Q5" s="106" t="s">
        <v>13</v>
      </c>
    </row>
    <row r="6" spans="1:17" ht="24.95" customHeight="1" x14ac:dyDescent="0.25">
      <c r="A6" s="107" t="s">
        <v>33</v>
      </c>
      <c r="B6" s="35" t="s">
        <v>63</v>
      </c>
      <c r="C6" s="259" t="s">
        <v>64</v>
      </c>
      <c r="D6" s="259"/>
      <c r="E6" s="260"/>
      <c r="F6" s="108"/>
      <c r="G6" s="109"/>
      <c r="H6" s="109"/>
      <c r="I6" s="109"/>
      <c r="J6" s="109"/>
      <c r="K6" s="109"/>
      <c r="L6" s="78"/>
      <c r="M6" s="79"/>
      <c r="N6" s="80"/>
      <c r="O6" s="81"/>
      <c r="P6" s="81"/>
      <c r="Q6" s="82"/>
    </row>
    <row r="7" spans="1:17" ht="24.95" customHeight="1" x14ac:dyDescent="0.25">
      <c r="A7" s="107" t="s">
        <v>22</v>
      </c>
      <c r="B7" s="36" t="s">
        <v>65</v>
      </c>
      <c r="C7" s="236"/>
      <c r="D7" s="236"/>
      <c r="E7" s="237"/>
      <c r="F7" s="110"/>
      <c r="G7" s="111"/>
      <c r="H7" s="111"/>
      <c r="I7" s="111"/>
      <c r="J7" s="111"/>
      <c r="K7" s="111"/>
      <c r="L7" s="83"/>
      <c r="M7" s="8"/>
      <c r="N7" s="84"/>
      <c r="O7" s="24"/>
      <c r="P7" s="24"/>
      <c r="Q7" s="85"/>
    </row>
    <row r="8" spans="1:17" ht="24.95" customHeight="1" x14ac:dyDescent="0.25">
      <c r="A8" s="107" t="s">
        <v>34</v>
      </c>
      <c r="B8" s="36" t="s">
        <v>66</v>
      </c>
      <c r="C8" s="236"/>
      <c r="D8" s="236"/>
      <c r="E8" s="237"/>
      <c r="F8" s="110"/>
      <c r="G8" s="111"/>
      <c r="H8" s="111"/>
      <c r="I8" s="111"/>
      <c r="J8" s="111"/>
      <c r="K8" s="111"/>
      <c r="L8" s="83"/>
      <c r="M8" s="8"/>
      <c r="N8" s="84"/>
      <c r="O8" s="24"/>
      <c r="P8" s="24"/>
      <c r="Q8" s="85"/>
    </row>
    <row r="9" spans="1:17" ht="24.95" customHeight="1" x14ac:dyDescent="0.25">
      <c r="A9" s="107" t="s">
        <v>67</v>
      </c>
      <c r="B9" s="36" t="s">
        <v>68</v>
      </c>
      <c r="C9" s="261"/>
      <c r="D9" s="261"/>
      <c r="E9" s="262"/>
      <c r="F9" s="110"/>
      <c r="G9" s="111"/>
      <c r="H9" s="111"/>
      <c r="I9" s="111"/>
      <c r="J9" s="111"/>
      <c r="K9" s="111"/>
      <c r="L9" s="83"/>
      <c r="M9" s="8"/>
      <c r="N9" s="84"/>
      <c r="O9" s="24"/>
      <c r="P9" s="24"/>
      <c r="Q9" s="85"/>
    </row>
    <row r="10" spans="1:17" ht="24.95" customHeight="1" x14ac:dyDescent="0.25">
      <c r="A10" s="112" t="s">
        <v>69</v>
      </c>
      <c r="B10" s="37" t="s">
        <v>24</v>
      </c>
      <c r="C10" s="38">
        <v>2460412.84</v>
      </c>
      <c r="D10" s="39">
        <v>100</v>
      </c>
      <c r="E10" s="40">
        <f>C10*D10/100</f>
        <v>2460412.84</v>
      </c>
      <c r="F10" s="38"/>
      <c r="G10" s="113"/>
      <c r="H10" s="113"/>
      <c r="I10" s="113"/>
      <c r="J10" s="113"/>
      <c r="K10" s="113"/>
      <c r="L10" s="2"/>
      <c r="M10" s="1">
        <f>E10*0.4</f>
        <v>984165.13599999994</v>
      </c>
      <c r="N10" s="1">
        <f>E10*0.6</f>
        <v>1476247.7039999999</v>
      </c>
      <c r="O10" s="1"/>
      <c r="P10" s="1"/>
      <c r="Q10" s="86"/>
    </row>
    <row r="11" spans="1:17" ht="24.95" customHeight="1" x14ac:dyDescent="0.25">
      <c r="A11" s="107" t="s">
        <v>70</v>
      </c>
      <c r="B11" s="37" t="s">
        <v>25</v>
      </c>
      <c r="C11" s="41">
        <v>10770385.369999999</v>
      </c>
      <c r="D11" s="42">
        <v>90</v>
      </c>
      <c r="E11" s="43">
        <f>C11*D11/100</f>
        <v>9693346.8329999987</v>
      </c>
      <c r="F11" s="41"/>
      <c r="G11" s="114"/>
      <c r="H11" s="114"/>
      <c r="I11" s="114"/>
      <c r="J11" s="114"/>
      <c r="K11" s="114"/>
      <c r="L11" s="2"/>
      <c r="M11" s="1"/>
      <c r="N11" s="1">
        <f>E11*0.55</f>
        <v>5331340.7581500001</v>
      </c>
      <c r="O11" s="87">
        <f>E11*0.45</f>
        <v>4362006.0748499995</v>
      </c>
      <c r="P11" s="87"/>
      <c r="Q11" s="88"/>
    </row>
    <row r="12" spans="1:17" ht="24.95" customHeight="1" x14ac:dyDescent="0.25">
      <c r="A12" s="107" t="s">
        <v>71</v>
      </c>
      <c r="B12" s="44" t="s">
        <v>26</v>
      </c>
      <c r="C12" s="38">
        <v>22619051.5</v>
      </c>
      <c r="D12" s="39">
        <v>15</v>
      </c>
      <c r="E12" s="43">
        <f t="shared" ref="E12:E22" si="0">C12*D12/100</f>
        <v>3392857.7250000001</v>
      </c>
      <c r="F12" s="41"/>
      <c r="G12" s="114"/>
      <c r="H12" s="114"/>
      <c r="I12" s="114"/>
      <c r="J12" s="114"/>
      <c r="K12" s="114"/>
      <c r="L12" s="2"/>
      <c r="M12" s="1">
        <f>E12*0.15</f>
        <v>508928.65875</v>
      </c>
      <c r="N12" s="1">
        <f>E12*0.41</f>
        <v>1391071.6672499999</v>
      </c>
      <c r="O12" s="87">
        <f>E12*0.4</f>
        <v>1357143.09</v>
      </c>
      <c r="P12" s="87">
        <f>E12*0.04</f>
        <v>135714.30900000001</v>
      </c>
      <c r="Q12" s="88"/>
    </row>
    <row r="13" spans="1:17" ht="24.95" customHeight="1" x14ac:dyDescent="0.25">
      <c r="A13" s="107" t="s">
        <v>72</v>
      </c>
      <c r="B13" s="44" t="s">
        <v>27</v>
      </c>
      <c r="C13" s="38">
        <v>985046.64</v>
      </c>
      <c r="D13" s="39">
        <v>100</v>
      </c>
      <c r="E13" s="43">
        <f t="shared" si="0"/>
        <v>985046.64</v>
      </c>
      <c r="F13" s="41"/>
      <c r="G13" s="114"/>
      <c r="H13" s="114"/>
      <c r="I13" s="114"/>
      <c r="J13" s="114"/>
      <c r="K13" s="114"/>
      <c r="L13" s="2"/>
      <c r="M13" s="1"/>
      <c r="N13" s="1">
        <f>E13*0.2</f>
        <v>197009.32800000001</v>
      </c>
      <c r="O13" s="87">
        <f>E13*0.4</f>
        <v>394018.65600000002</v>
      </c>
      <c r="P13" s="87">
        <f>E13*0.4</f>
        <v>394018.65600000002</v>
      </c>
      <c r="Q13" s="88"/>
    </row>
    <row r="14" spans="1:17" ht="24.95" customHeight="1" x14ac:dyDescent="0.25">
      <c r="A14" s="107" t="s">
        <v>73</v>
      </c>
      <c r="B14" s="44" t="s">
        <v>74</v>
      </c>
      <c r="C14" s="45">
        <f>5065925.87+893986.91</f>
        <v>5959912.7800000003</v>
      </c>
      <c r="D14" s="39">
        <v>70</v>
      </c>
      <c r="E14" s="43">
        <f t="shared" si="0"/>
        <v>4171938.9460000005</v>
      </c>
      <c r="F14" s="41"/>
      <c r="G14" s="114"/>
      <c r="H14" s="114"/>
      <c r="I14" s="114"/>
      <c r="J14" s="114"/>
      <c r="K14" s="114"/>
      <c r="L14" s="2"/>
      <c r="M14" s="1">
        <f>E14*0.1</f>
        <v>417193.89460000006</v>
      </c>
      <c r="N14" s="1">
        <f>E14*0.3</f>
        <v>1251581.6838</v>
      </c>
      <c r="O14" s="87">
        <f>E14*0.3</f>
        <v>1251581.6838</v>
      </c>
      <c r="P14" s="87">
        <f>E14*0.25</f>
        <v>1042984.7365000001</v>
      </c>
      <c r="Q14" s="88">
        <f>E14*0.05</f>
        <v>208596.94730000003</v>
      </c>
    </row>
    <row r="15" spans="1:17" ht="24.95" customHeight="1" x14ac:dyDescent="0.25">
      <c r="A15" s="107" t="s">
        <v>75</v>
      </c>
      <c r="B15" s="44" t="s">
        <v>76</v>
      </c>
      <c r="C15" s="38">
        <f>27736475.45+13562624.39</f>
        <v>41299099.840000004</v>
      </c>
      <c r="D15" s="39">
        <v>4</v>
      </c>
      <c r="E15" s="43">
        <f t="shared" si="0"/>
        <v>1651963.9936000002</v>
      </c>
      <c r="F15" s="41"/>
      <c r="G15" s="114"/>
      <c r="H15" s="114"/>
      <c r="I15" s="114"/>
      <c r="J15" s="114"/>
      <c r="K15" s="114"/>
      <c r="L15" s="2"/>
      <c r="M15" s="1"/>
      <c r="N15" s="1">
        <f>E15*0.1</f>
        <v>165196.39936000004</v>
      </c>
      <c r="O15" s="87">
        <f>E15*0.45</f>
        <v>743383.79712000012</v>
      </c>
      <c r="P15" s="87">
        <f>E15*0.45</f>
        <v>743383.79712000012</v>
      </c>
      <c r="Q15" s="88"/>
    </row>
    <row r="16" spans="1:17" ht="24.95" customHeight="1" x14ac:dyDescent="0.25">
      <c r="A16" s="107" t="s">
        <v>77</v>
      </c>
      <c r="B16" s="46" t="s">
        <v>78</v>
      </c>
      <c r="C16" s="47">
        <f>4034674.25+712001.34</f>
        <v>4746675.59</v>
      </c>
      <c r="D16" s="48">
        <v>65</v>
      </c>
      <c r="E16" s="43">
        <f t="shared" si="0"/>
        <v>3085339.1334999995</v>
      </c>
      <c r="F16" s="41"/>
      <c r="G16" s="114"/>
      <c r="H16" s="114"/>
      <c r="I16" s="114"/>
      <c r="J16" s="114"/>
      <c r="K16" s="114"/>
      <c r="L16" s="2"/>
      <c r="M16" s="1">
        <f>E16*0.15</f>
        <v>462800.87002499989</v>
      </c>
      <c r="N16" s="1">
        <f>E16*0.3</f>
        <v>925601.74004999979</v>
      </c>
      <c r="O16" s="87">
        <f>E16*0.25</f>
        <v>771334.78337499988</v>
      </c>
      <c r="P16" s="87">
        <f>E16*0.25</f>
        <v>771334.78337499988</v>
      </c>
      <c r="Q16" s="88">
        <f>E16*0.05</f>
        <v>154266.95667499999</v>
      </c>
    </row>
    <row r="17" spans="1:17" ht="24.95" customHeight="1" x14ac:dyDescent="0.25">
      <c r="A17" s="107" t="s">
        <v>79</v>
      </c>
      <c r="B17" s="44" t="s">
        <v>29</v>
      </c>
      <c r="C17" s="38">
        <v>15760350.48</v>
      </c>
      <c r="D17" s="39">
        <v>45</v>
      </c>
      <c r="E17" s="43">
        <f t="shared" si="0"/>
        <v>7092157.716</v>
      </c>
      <c r="F17" s="41"/>
      <c r="G17" s="114"/>
      <c r="H17" s="114"/>
      <c r="I17" s="114"/>
      <c r="J17" s="114"/>
      <c r="K17" s="114"/>
      <c r="L17" s="2"/>
      <c r="M17" s="1">
        <f>E17*0.05</f>
        <v>354607.88580000005</v>
      </c>
      <c r="N17" s="1">
        <f>E17*0.3</f>
        <v>2127647.3147999998</v>
      </c>
      <c r="O17" s="87">
        <f>E17*0.2</f>
        <v>1418431.5432000002</v>
      </c>
      <c r="P17" s="87">
        <f>E17*0.25</f>
        <v>1773039.429</v>
      </c>
      <c r="Q17" s="88">
        <f>E17*0.2</f>
        <v>1418431.5432000002</v>
      </c>
    </row>
    <row r="18" spans="1:17" ht="24.95" customHeight="1" x14ac:dyDescent="0.25">
      <c r="A18" s="107" t="s">
        <v>80</v>
      </c>
      <c r="B18" s="46" t="s">
        <v>30</v>
      </c>
      <c r="C18" s="38">
        <v>2600326.96</v>
      </c>
      <c r="D18" s="39">
        <v>70</v>
      </c>
      <c r="E18" s="43">
        <f t="shared" si="0"/>
        <v>1820228.872</v>
      </c>
      <c r="F18" s="41"/>
      <c r="G18" s="114"/>
      <c r="H18" s="114"/>
      <c r="I18" s="114"/>
      <c r="J18" s="114"/>
      <c r="K18" s="114"/>
      <c r="L18" s="2"/>
      <c r="M18" s="1">
        <f>E18*0.3</f>
        <v>546068.66159999999</v>
      </c>
      <c r="N18" s="1">
        <f>E18*0.3</f>
        <v>546068.66159999999</v>
      </c>
      <c r="O18" s="87">
        <f>E18*0.3</f>
        <v>546068.66159999999</v>
      </c>
      <c r="P18" s="87">
        <f>E18*0.05</f>
        <v>91011.443599999999</v>
      </c>
      <c r="Q18" s="88">
        <f>E18*0.05</f>
        <v>91011.443599999999</v>
      </c>
    </row>
    <row r="19" spans="1:17" ht="24.95" customHeight="1" x14ac:dyDescent="0.25">
      <c r="A19" s="107" t="s">
        <v>81</v>
      </c>
      <c r="B19" s="44" t="s">
        <v>31</v>
      </c>
      <c r="C19" s="38">
        <v>3003509.65</v>
      </c>
      <c r="D19" s="39">
        <v>15</v>
      </c>
      <c r="E19" s="43">
        <f t="shared" si="0"/>
        <v>450526.44750000001</v>
      </c>
      <c r="F19" s="41"/>
      <c r="G19" s="114"/>
      <c r="H19" s="114"/>
      <c r="I19" s="114"/>
      <c r="J19" s="114"/>
      <c r="K19" s="114"/>
      <c r="L19" s="2"/>
      <c r="M19" s="1"/>
      <c r="N19" s="1">
        <f>E19*0.35</f>
        <v>157684.25662499998</v>
      </c>
      <c r="O19" s="87">
        <f>E19*0.45</f>
        <v>202736.90137500002</v>
      </c>
      <c r="P19" s="87">
        <f>E19*0.2</f>
        <v>90105.289500000014</v>
      </c>
      <c r="Q19" s="88"/>
    </row>
    <row r="20" spans="1:17" ht="24.95" customHeight="1" x14ac:dyDescent="0.25">
      <c r="A20" s="107" t="s">
        <v>82</v>
      </c>
      <c r="B20" s="44" t="s">
        <v>83</v>
      </c>
      <c r="C20" s="38">
        <f>45678916.94+11079180.66</f>
        <v>56758097.599999994</v>
      </c>
      <c r="D20" s="39">
        <v>60</v>
      </c>
      <c r="E20" s="43">
        <f t="shared" si="0"/>
        <v>34054858.559999995</v>
      </c>
      <c r="F20" s="41"/>
      <c r="G20" s="114"/>
      <c r="H20" s="114"/>
      <c r="I20" s="114"/>
      <c r="J20" s="114"/>
      <c r="K20" s="114"/>
      <c r="L20" s="2"/>
      <c r="M20" s="1">
        <f>E20*0.03</f>
        <v>1021645.7567999999</v>
      </c>
      <c r="N20" s="1">
        <f>E20*0.25</f>
        <v>8513714.6399999987</v>
      </c>
      <c r="O20" s="87">
        <f>E20*0.4</f>
        <v>13621943.423999999</v>
      </c>
      <c r="P20" s="87">
        <f>E20*0.22</f>
        <v>7492068.8831999991</v>
      </c>
      <c r="Q20" s="88">
        <f>E20*0.1</f>
        <v>3405485.8559999997</v>
      </c>
    </row>
    <row r="21" spans="1:17" ht="24.95" customHeight="1" x14ac:dyDescent="0.25">
      <c r="A21" s="107" t="s">
        <v>84</v>
      </c>
      <c r="B21" s="44" t="s">
        <v>36</v>
      </c>
      <c r="C21" s="38">
        <v>2937914.48</v>
      </c>
      <c r="D21" s="39">
        <v>70</v>
      </c>
      <c r="E21" s="43">
        <f t="shared" si="0"/>
        <v>2056540.1359999999</v>
      </c>
      <c r="F21" s="41"/>
      <c r="G21" s="114"/>
      <c r="H21" s="114"/>
      <c r="I21" s="114"/>
      <c r="J21" s="114"/>
      <c r="K21" s="114"/>
      <c r="L21" s="2"/>
      <c r="M21" s="1">
        <f>E21*0.3</f>
        <v>616962.04079999996</v>
      </c>
      <c r="N21" s="1">
        <f>E21*0.65</f>
        <v>1336751.0884</v>
      </c>
      <c r="O21" s="87">
        <f>E21*0.05</f>
        <v>102827.0068</v>
      </c>
      <c r="P21" s="87"/>
      <c r="Q21" s="88"/>
    </row>
    <row r="22" spans="1:17" ht="24.95" customHeight="1" thickBot="1" x14ac:dyDescent="0.3">
      <c r="A22" s="107" t="s">
        <v>85</v>
      </c>
      <c r="B22" s="49" t="s">
        <v>38</v>
      </c>
      <c r="C22" s="50">
        <v>53980314.759999998</v>
      </c>
      <c r="D22" s="51">
        <v>14</v>
      </c>
      <c r="E22" s="52">
        <f t="shared" si="0"/>
        <v>7557244.0663999999</v>
      </c>
      <c r="F22" s="115"/>
      <c r="G22" s="116"/>
      <c r="H22" s="116"/>
      <c r="I22" s="116"/>
      <c r="J22" s="116"/>
      <c r="K22" s="116"/>
      <c r="L22" s="89"/>
      <c r="M22" s="90">
        <f>E22*0.05</f>
        <v>377862.20332000003</v>
      </c>
      <c r="N22" s="90">
        <f>E22*0.5</f>
        <v>3778622.0331999999</v>
      </c>
      <c r="O22" s="91">
        <f>E22*0.15</f>
        <v>1133586.60996</v>
      </c>
      <c r="P22" s="91">
        <f>E22*0.05</f>
        <v>377862.20332000003</v>
      </c>
      <c r="Q22" s="92">
        <f>E22*0.25</f>
        <v>1889311.0166</v>
      </c>
    </row>
    <row r="23" spans="1:17" ht="24.95" customHeight="1" thickBot="1" x14ac:dyDescent="0.3">
      <c r="A23" s="263" t="s">
        <v>90</v>
      </c>
      <c r="B23" s="264"/>
      <c r="C23" s="264"/>
      <c r="D23" s="265"/>
      <c r="E23" s="117">
        <f>SUM(E10:E22)</f>
        <v>78472461.908999994</v>
      </c>
      <c r="F23" s="76"/>
      <c r="G23" s="76"/>
      <c r="H23" s="76"/>
      <c r="I23" s="76"/>
      <c r="J23" s="76"/>
      <c r="K23" s="76"/>
      <c r="L23" s="118"/>
      <c r="M23" s="119">
        <f>SUM(M10:M22)</f>
        <v>5290235.1076949993</v>
      </c>
      <c r="N23" s="120">
        <f>SUM(N10:N22)</f>
        <v>27198537.275234994</v>
      </c>
      <c r="O23" s="120">
        <f t="shared" ref="O23:Q23" si="1">SUM(O10:O22)</f>
        <v>25905062.232079998</v>
      </c>
      <c r="P23" s="120">
        <f t="shared" si="1"/>
        <v>12911523.530614998</v>
      </c>
      <c r="Q23" s="121">
        <f t="shared" si="1"/>
        <v>7167103.7633749992</v>
      </c>
    </row>
    <row r="24" spans="1:17" ht="24.95" customHeight="1" x14ac:dyDescent="0.25">
      <c r="A24" s="266" t="s">
        <v>0</v>
      </c>
      <c r="B24" s="248" t="s">
        <v>92</v>
      </c>
      <c r="C24" s="268" t="s">
        <v>93</v>
      </c>
      <c r="D24" s="269" t="s">
        <v>96</v>
      </c>
      <c r="E24" s="271" t="s">
        <v>97</v>
      </c>
      <c r="F24" s="278" t="s">
        <v>88</v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80"/>
    </row>
    <row r="25" spans="1:17" ht="24.95" customHeight="1" thickBot="1" x14ac:dyDescent="0.3">
      <c r="A25" s="267"/>
      <c r="B25" s="249"/>
      <c r="C25" s="251"/>
      <c r="D25" s="270"/>
      <c r="E25" s="272"/>
      <c r="F25" s="122" t="s">
        <v>14</v>
      </c>
      <c r="G25" s="123" t="s">
        <v>15</v>
      </c>
      <c r="H25" s="123" t="s">
        <v>4</v>
      </c>
      <c r="I25" s="123" t="s">
        <v>5</v>
      </c>
      <c r="J25" s="123" t="s">
        <v>6</v>
      </c>
      <c r="K25" s="123" t="s">
        <v>7</v>
      </c>
      <c r="L25" s="124" t="s">
        <v>8</v>
      </c>
      <c r="M25" s="125" t="s">
        <v>9</v>
      </c>
      <c r="N25" s="125" t="s">
        <v>10</v>
      </c>
      <c r="O25" s="125" t="s">
        <v>11</v>
      </c>
      <c r="P25" s="125" t="s">
        <v>12</v>
      </c>
      <c r="Q25" s="126" t="s">
        <v>13</v>
      </c>
    </row>
    <row r="26" spans="1:17" ht="24.95" customHeight="1" x14ac:dyDescent="0.25">
      <c r="A26" s="57" t="s">
        <v>33</v>
      </c>
      <c r="B26" s="58" t="s">
        <v>25</v>
      </c>
      <c r="C26" s="59">
        <v>10770385.369999999</v>
      </c>
      <c r="D26" s="60">
        <v>10</v>
      </c>
      <c r="E26" s="61">
        <f>C26*D26/100</f>
        <v>1077038.5369999998</v>
      </c>
      <c r="F26" s="127">
        <v>1077038.5369999998</v>
      </c>
      <c r="G26" s="128"/>
      <c r="H26" s="128"/>
      <c r="I26" s="128"/>
      <c r="J26" s="128"/>
      <c r="K26" s="128"/>
      <c r="L26" s="129"/>
      <c r="M26" s="130"/>
      <c r="N26" s="131"/>
      <c r="O26" s="132"/>
      <c r="P26" s="132"/>
      <c r="Q26" s="133"/>
    </row>
    <row r="27" spans="1:17" ht="24.95" customHeight="1" x14ac:dyDescent="0.25">
      <c r="A27" s="62" t="s">
        <v>22</v>
      </c>
      <c r="B27" s="44" t="s">
        <v>26</v>
      </c>
      <c r="C27" s="63">
        <v>22619051.5</v>
      </c>
      <c r="D27" s="39">
        <v>65</v>
      </c>
      <c r="E27" s="64">
        <f t="shared" ref="E27:E38" si="2">C27*D27/100</f>
        <v>14702383.475</v>
      </c>
      <c r="F27" s="63"/>
      <c r="G27" s="113"/>
      <c r="H27" s="113">
        <v>1470238.3475000001</v>
      </c>
      <c r="I27" s="113">
        <v>3675595.8687499999</v>
      </c>
      <c r="J27" s="113">
        <v>2940476.6950000003</v>
      </c>
      <c r="K27" s="113">
        <v>2940476.6950000003</v>
      </c>
      <c r="L27" s="2">
        <v>3675595.8687499999</v>
      </c>
      <c r="M27" s="3"/>
      <c r="N27" s="6"/>
      <c r="O27" s="19"/>
      <c r="P27" s="19"/>
      <c r="Q27" s="134"/>
    </row>
    <row r="28" spans="1:17" ht="24.95" customHeight="1" x14ac:dyDescent="0.25">
      <c r="A28" s="62" t="s">
        <v>34</v>
      </c>
      <c r="B28" s="44" t="s">
        <v>74</v>
      </c>
      <c r="C28" s="63">
        <f>5065925.87+893986.91</f>
        <v>5959912.7800000003</v>
      </c>
      <c r="D28" s="39">
        <v>15</v>
      </c>
      <c r="E28" s="64">
        <f t="shared" si="2"/>
        <v>893986.91700000002</v>
      </c>
      <c r="F28" s="63"/>
      <c r="G28" s="113"/>
      <c r="H28" s="113"/>
      <c r="I28" s="113"/>
      <c r="J28" s="113"/>
      <c r="K28" s="113"/>
      <c r="L28" s="2"/>
      <c r="M28" s="1">
        <v>178797.38340000002</v>
      </c>
      <c r="N28" s="2">
        <v>268196.07510000002</v>
      </c>
      <c r="O28" s="2">
        <v>446993.45850000001</v>
      </c>
      <c r="P28" s="19"/>
      <c r="Q28" s="134"/>
    </row>
    <row r="29" spans="1:17" ht="24.95" customHeight="1" x14ac:dyDescent="0.25">
      <c r="A29" s="62" t="s">
        <v>67</v>
      </c>
      <c r="B29" s="46" t="s">
        <v>78</v>
      </c>
      <c r="C29" s="65">
        <f>4034674.25+712001.34</f>
        <v>4746675.59</v>
      </c>
      <c r="D29" s="39">
        <v>20</v>
      </c>
      <c r="E29" s="64">
        <f t="shared" si="2"/>
        <v>949335.11800000002</v>
      </c>
      <c r="F29" s="63"/>
      <c r="G29" s="113"/>
      <c r="H29" s="113"/>
      <c r="I29" s="113"/>
      <c r="J29" s="113"/>
      <c r="K29" s="113"/>
      <c r="L29" s="2"/>
      <c r="M29" s="3"/>
      <c r="N29" s="6"/>
      <c r="O29" s="19">
        <v>474667.55900000001</v>
      </c>
      <c r="P29" s="19">
        <v>284800.53539999999</v>
      </c>
      <c r="Q29" s="134">
        <v>189867.02360000001</v>
      </c>
    </row>
    <row r="30" spans="1:17" ht="24.95" customHeight="1" x14ac:dyDescent="0.25">
      <c r="A30" s="62" t="s">
        <v>69</v>
      </c>
      <c r="B30" s="44" t="s">
        <v>76</v>
      </c>
      <c r="C30" s="63">
        <f>27736475.45+13562624.39</f>
        <v>41299099.840000004</v>
      </c>
      <c r="D30" s="39">
        <v>56</v>
      </c>
      <c r="E30" s="64">
        <f t="shared" si="2"/>
        <v>23127495.910399999</v>
      </c>
      <c r="F30" s="63"/>
      <c r="G30" s="113"/>
      <c r="H30" s="113">
        <v>2312749.5910399999</v>
      </c>
      <c r="I30" s="113">
        <v>4625499.1820799997</v>
      </c>
      <c r="J30" s="113">
        <v>2312749.5910399999</v>
      </c>
      <c r="K30" s="113">
        <v>2312749.5910399999</v>
      </c>
      <c r="L30" s="2">
        <v>2312749.5910399999</v>
      </c>
      <c r="M30" s="1">
        <v>2312749.5910399999</v>
      </c>
      <c r="N30" s="2">
        <v>2312749.5910399999</v>
      </c>
      <c r="O30" s="19">
        <v>2312749.5910399999</v>
      </c>
      <c r="P30" s="19">
        <v>2312749.5910399999</v>
      </c>
      <c r="Q30" s="134"/>
    </row>
    <row r="31" spans="1:17" ht="24.95" customHeight="1" x14ac:dyDescent="0.25">
      <c r="A31" s="62" t="s">
        <v>71</v>
      </c>
      <c r="B31" s="44" t="s">
        <v>29</v>
      </c>
      <c r="C31" s="63">
        <v>15760350.48</v>
      </c>
      <c r="D31" s="39">
        <v>45</v>
      </c>
      <c r="E31" s="64">
        <f t="shared" si="2"/>
        <v>7092157.716</v>
      </c>
      <c r="F31" s="63"/>
      <c r="G31" s="113"/>
      <c r="H31" s="113"/>
      <c r="I31" s="113"/>
      <c r="J31" s="113">
        <v>1418431.5432000002</v>
      </c>
      <c r="K31" s="113">
        <v>1418431.5432000002</v>
      </c>
      <c r="L31" s="2">
        <v>2127647.3147999998</v>
      </c>
      <c r="M31" s="1">
        <v>2127647.3147999998</v>
      </c>
      <c r="N31" s="6"/>
      <c r="O31" s="19"/>
      <c r="P31" s="19"/>
      <c r="Q31" s="134"/>
    </row>
    <row r="32" spans="1:17" ht="24.95" customHeight="1" x14ac:dyDescent="0.25">
      <c r="A32" s="62" t="s">
        <v>72</v>
      </c>
      <c r="B32" s="46" t="s">
        <v>30</v>
      </c>
      <c r="C32" s="63">
        <v>2600326.96</v>
      </c>
      <c r="D32" s="39">
        <v>23</v>
      </c>
      <c r="E32" s="64">
        <f t="shared" si="2"/>
        <v>598075.20079999999</v>
      </c>
      <c r="F32" s="63"/>
      <c r="G32" s="113"/>
      <c r="H32" s="113"/>
      <c r="I32" s="113">
        <v>598075.20079999999</v>
      </c>
      <c r="J32" s="113"/>
      <c r="K32" s="113"/>
      <c r="L32" s="2"/>
      <c r="M32" s="3"/>
      <c r="N32" s="6"/>
      <c r="O32" s="19"/>
      <c r="P32" s="19"/>
      <c r="Q32" s="134"/>
    </row>
    <row r="33" spans="1:17" ht="24.95" customHeight="1" x14ac:dyDescent="0.25">
      <c r="A33" s="62" t="s">
        <v>73</v>
      </c>
      <c r="B33" s="44" t="s">
        <v>86</v>
      </c>
      <c r="C33" s="63">
        <f>11892149.84+2973037.46</f>
        <v>14865187.300000001</v>
      </c>
      <c r="D33" s="39">
        <v>80</v>
      </c>
      <c r="E33" s="64">
        <f t="shared" si="2"/>
        <v>11892149.84</v>
      </c>
      <c r="F33" s="63"/>
      <c r="G33" s="113"/>
      <c r="H33" s="113"/>
      <c r="I33" s="113"/>
      <c r="J33" s="113">
        <v>2378429.9679999999</v>
      </c>
      <c r="K33" s="113">
        <v>2973037.46</v>
      </c>
      <c r="L33" s="2">
        <v>2973037.46</v>
      </c>
      <c r="M33" s="1">
        <v>1783822.476</v>
      </c>
      <c r="N33" s="1">
        <v>1783822.476</v>
      </c>
      <c r="O33" s="19"/>
      <c r="P33" s="19"/>
      <c r="Q33" s="134"/>
    </row>
    <row r="34" spans="1:17" ht="24.95" customHeight="1" x14ac:dyDescent="0.25">
      <c r="A34" s="62" t="s">
        <v>75</v>
      </c>
      <c r="B34" s="44" t="s">
        <v>31</v>
      </c>
      <c r="C34" s="63">
        <v>3003509.65</v>
      </c>
      <c r="D34" s="39">
        <v>15</v>
      </c>
      <c r="E34" s="64">
        <f t="shared" si="2"/>
        <v>450526.44750000001</v>
      </c>
      <c r="F34" s="63"/>
      <c r="G34" s="113"/>
      <c r="H34" s="113"/>
      <c r="I34" s="113"/>
      <c r="J34" s="113"/>
      <c r="K34" s="113"/>
      <c r="L34" s="2"/>
      <c r="M34" s="3"/>
      <c r="N34" s="6"/>
      <c r="O34" s="19"/>
      <c r="P34" s="19">
        <v>450526.44750000001</v>
      </c>
      <c r="Q34" s="134"/>
    </row>
    <row r="35" spans="1:17" ht="24.95" customHeight="1" x14ac:dyDescent="0.25">
      <c r="A35" s="62" t="s">
        <v>77</v>
      </c>
      <c r="B35" s="44" t="s">
        <v>87</v>
      </c>
      <c r="C35" s="63">
        <f>10516918.1+3889819.04</f>
        <v>14406737.140000001</v>
      </c>
      <c r="D35" s="39">
        <v>75</v>
      </c>
      <c r="E35" s="64">
        <f t="shared" si="2"/>
        <v>10805052.855</v>
      </c>
      <c r="F35" s="63"/>
      <c r="G35" s="113"/>
      <c r="H35" s="113"/>
      <c r="I35" s="113"/>
      <c r="J35" s="113"/>
      <c r="K35" s="113"/>
      <c r="L35" s="2"/>
      <c r="M35" s="1">
        <v>4322021.142</v>
      </c>
      <c r="N35" s="2">
        <v>2701263.2137500001</v>
      </c>
      <c r="O35" s="19">
        <v>3781768.4992499999</v>
      </c>
      <c r="P35" s="19"/>
      <c r="Q35" s="134"/>
    </row>
    <row r="36" spans="1:17" ht="24.95" customHeight="1" x14ac:dyDescent="0.25">
      <c r="A36" s="62" t="s">
        <v>79</v>
      </c>
      <c r="B36" s="44" t="s">
        <v>83</v>
      </c>
      <c r="C36" s="63">
        <f>45678916.94+11079180.66</f>
        <v>56758097.599999994</v>
      </c>
      <c r="D36" s="39">
        <v>20</v>
      </c>
      <c r="E36" s="64">
        <f t="shared" si="2"/>
        <v>11351619.52</v>
      </c>
      <c r="F36" s="63"/>
      <c r="G36" s="113"/>
      <c r="H36" s="113"/>
      <c r="I36" s="113"/>
      <c r="J36" s="113"/>
      <c r="K36" s="113"/>
      <c r="L36" s="2"/>
      <c r="M36" s="3"/>
      <c r="N36" s="2">
        <v>5108228.784</v>
      </c>
      <c r="O36" s="19">
        <v>2837904.88</v>
      </c>
      <c r="P36" s="19">
        <v>3405485.8559999997</v>
      </c>
      <c r="Q36" s="134"/>
    </row>
    <row r="37" spans="1:17" ht="24.95" customHeight="1" x14ac:dyDescent="0.25">
      <c r="A37" s="62" t="s">
        <v>80</v>
      </c>
      <c r="B37" s="44" t="s">
        <v>36</v>
      </c>
      <c r="C37" s="63">
        <v>2937914.48</v>
      </c>
      <c r="D37" s="39">
        <v>20</v>
      </c>
      <c r="E37" s="64">
        <f t="shared" si="2"/>
        <v>587582.89600000007</v>
      </c>
      <c r="F37" s="63"/>
      <c r="G37" s="113"/>
      <c r="H37" s="113"/>
      <c r="I37" s="113"/>
      <c r="J37" s="113">
        <v>264412.30320000002</v>
      </c>
      <c r="K37" s="113">
        <v>323170.59280000004</v>
      </c>
      <c r="L37" s="2"/>
      <c r="M37" s="3"/>
      <c r="N37" s="6"/>
      <c r="O37" s="19"/>
      <c r="P37" s="19"/>
      <c r="Q37" s="134"/>
    </row>
    <row r="38" spans="1:17" ht="24.95" customHeight="1" thickBot="1" x14ac:dyDescent="0.3">
      <c r="A38" s="135" t="s">
        <v>81</v>
      </c>
      <c r="B38" s="49" t="s">
        <v>38</v>
      </c>
      <c r="C38" s="77">
        <v>53980314.759999998</v>
      </c>
      <c r="D38" s="51">
        <v>86</v>
      </c>
      <c r="E38" s="136">
        <f t="shared" si="2"/>
        <v>46423070.693599999</v>
      </c>
      <c r="F38" s="77">
        <v>928461.41387199995</v>
      </c>
      <c r="G38" s="137">
        <v>1392692.120808</v>
      </c>
      <c r="H38" s="137">
        <v>2321153.53468</v>
      </c>
      <c r="I38" s="137">
        <v>9284614.1387200002</v>
      </c>
      <c r="J38" s="137">
        <v>9284614.1387200002</v>
      </c>
      <c r="K38" s="137">
        <v>6963460.6040399997</v>
      </c>
      <c r="L38" s="138">
        <v>6963460.6040399997</v>
      </c>
      <c r="M38" s="139">
        <v>4642307.0693600001</v>
      </c>
      <c r="N38" s="139">
        <v>4642307.0693600001</v>
      </c>
      <c r="O38" s="140"/>
      <c r="P38" s="140"/>
      <c r="Q38" s="141"/>
    </row>
    <row r="39" spans="1:17" ht="16.5" thickBot="1" x14ac:dyDescent="0.3">
      <c r="A39" s="273" t="s">
        <v>98</v>
      </c>
      <c r="B39" s="264"/>
      <c r="C39" s="264"/>
      <c r="D39" s="274"/>
      <c r="E39" s="142">
        <f>SUM(E26:E38)</f>
        <v>129950475.12629998</v>
      </c>
      <c r="F39" s="143">
        <f>SUM(F26:F38)</f>
        <v>2005499.9508719998</v>
      </c>
      <c r="G39" s="144">
        <f t="shared" ref="G39:Q39" si="3">SUM(G26:G38)</f>
        <v>1392692.120808</v>
      </c>
      <c r="H39" s="144">
        <f t="shared" si="3"/>
        <v>6104141.47322</v>
      </c>
      <c r="I39" s="144">
        <f t="shared" si="3"/>
        <v>18183784.390349999</v>
      </c>
      <c r="J39" s="144">
        <f t="shared" si="3"/>
        <v>18599114.239160001</v>
      </c>
      <c r="K39" s="144">
        <f t="shared" si="3"/>
        <v>16931326.486080002</v>
      </c>
      <c r="L39" s="144">
        <f t="shared" si="3"/>
        <v>18052490.838629998</v>
      </c>
      <c r="M39" s="144">
        <f t="shared" si="3"/>
        <v>15367344.976599999</v>
      </c>
      <c r="N39" s="144">
        <f t="shared" si="3"/>
        <v>16816567.209249999</v>
      </c>
      <c r="O39" s="144">
        <f t="shared" si="3"/>
        <v>9854083.9877899997</v>
      </c>
      <c r="P39" s="144">
        <f t="shared" si="3"/>
        <v>6453562.4299399992</v>
      </c>
      <c r="Q39" s="145">
        <f t="shared" si="3"/>
        <v>189867.02360000001</v>
      </c>
    </row>
    <row r="40" spans="1:17" ht="25.5" x14ac:dyDescent="0.25">
      <c r="A40" s="266" t="s">
        <v>0</v>
      </c>
      <c r="B40" s="248" t="s">
        <v>92</v>
      </c>
      <c r="C40" s="268" t="s">
        <v>93</v>
      </c>
      <c r="D40" s="269" t="s">
        <v>99</v>
      </c>
      <c r="E40" s="271" t="s">
        <v>100</v>
      </c>
      <c r="F40" s="278" t="s">
        <v>35</v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80"/>
    </row>
    <row r="41" spans="1:17" ht="15.75" thickBot="1" x14ac:dyDescent="0.3">
      <c r="A41" s="267"/>
      <c r="B41" s="249"/>
      <c r="C41" s="251"/>
      <c r="D41" s="270"/>
      <c r="E41" s="272"/>
      <c r="F41" s="122" t="s">
        <v>14</v>
      </c>
      <c r="G41" s="123" t="s">
        <v>15</v>
      </c>
      <c r="H41" s="123" t="s">
        <v>4</v>
      </c>
      <c r="I41" s="123" t="s">
        <v>5</v>
      </c>
      <c r="J41" s="123" t="s">
        <v>6</v>
      </c>
      <c r="K41" s="123" t="s">
        <v>7</v>
      </c>
      <c r="L41" s="124" t="s">
        <v>8</v>
      </c>
      <c r="M41" s="125" t="s">
        <v>9</v>
      </c>
      <c r="N41" s="125" t="s">
        <v>10</v>
      </c>
      <c r="O41" s="125" t="s">
        <v>11</v>
      </c>
      <c r="P41" s="125" t="s">
        <v>12</v>
      </c>
      <c r="Q41" s="126" t="s">
        <v>13</v>
      </c>
    </row>
    <row r="42" spans="1:17" ht="24.95" customHeight="1" x14ac:dyDescent="0.25">
      <c r="A42" s="57" t="s">
        <v>33</v>
      </c>
      <c r="B42" s="66" t="s">
        <v>26</v>
      </c>
      <c r="C42" s="67">
        <v>22619051.5</v>
      </c>
      <c r="D42" s="60">
        <v>20</v>
      </c>
      <c r="E42" s="61">
        <f>C42*D42/100</f>
        <v>4523810.3</v>
      </c>
      <c r="F42" s="127"/>
      <c r="G42" s="128"/>
      <c r="H42" s="128"/>
      <c r="I42" s="128"/>
      <c r="J42" s="128"/>
      <c r="K42" s="128"/>
      <c r="L42" s="129"/>
      <c r="M42" s="146"/>
      <c r="N42" s="129">
        <f>E42*0.5</f>
        <v>2261905.15</v>
      </c>
      <c r="O42" s="147">
        <f>E42*0.5</f>
        <v>2261905.15</v>
      </c>
      <c r="P42" s="147"/>
      <c r="Q42" s="148"/>
    </row>
    <row r="43" spans="1:17" ht="24.95" customHeight="1" x14ac:dyDescent="0.25">
      <c r="A43" s="68" t="s">
        <v>22</v>
      </c>
      <c r="B43" s="44" t="s">
        <v>2</v>
      </c>
      <c r="C43" s="69">
        <v>258772.01</v>
      </c>
      <c r="D43" s="70">
        <v>100</v>
      </c>
      <c r="E43" s="64">
        <f t="shared" ref="E43:E68" si="4">C43*D43/100</f>
        <v>258772.01</v>
      </c>
      <c r="F43" s="149"/>
      <c r="G43" s="150"/>
      <c r="H43" s="150">
        <f>E43*0.65</f>
        <v>168201.80650000001</v>
      </c>
      <c r="I43" s="150">
        <f>E43*0.35</f>
        <v>90570.203500000003</v>
      </c>
      <c r="J43" s="150"/>
      <c r="K43" s="150"/>
      <c r="L43" s="94"/>
      <c r="M43" s="10"/>
      <c r="N43" s="94"/>
      <c r="O43" s="151"/>
      <c r="P43" s="151"/>
      <c r="Q43" s="152"/>
    </row>
    <row r="44" spans="1:17" ht="24.95" customHeight="1" x14ac:dyDescent="0.25">
      <c r="A44" s="68" t="s">
        <v>34</v>
      </c>
      <c r="B44" s="44" t="s">
        <v>28</v>
      </c>
      <c r="C44" s="69">
        <v>173347.5</v>
      </c>
      <c r="D44" s="70">
        <v>100</v>
      </c>
      <c r="E44" s="64">
        <f t="shared" si="4"/>
        <v>173347.5</v>
      </c>
      <c r="F44" s="149"/>
      <c r="G44" s="150"/>
      <c r="H44" s="150">
        <f>E44*0.65</f>
        <v>112675.875</v>
      </c>
      <c r="I44" s="150">
        <f>E44*0.35</f>
        <v>60671.624999999993</v>
      </c>
      <c r="J44" s="150"/>
      <c r="K44" s="150"/>
      <c r="L44" s="94"/>
      <c r="M44" s="9"/>
      <c r="N44" s="94"/>
      <c r="O44" s="151"/>
      <c r="P44" s="151"/>
      <c r="Q44" s="152"/>
    </row>
    <row r="45" spans="1:17" ht="24.95" customHeight="1" x14ac:dyDescent="0.25">
      <c r="A45" s="68" t="s">
        <v>67</v>
      </c>
      <c r="B45" s="44" t="s">
        <v>74</v>
      </c>
      <c r="C45" s="38">
        <f>5065925.87+893986.91</f>
        <v>5959912.7800000003</v>
      </c>
      <c r="D45" s="70">
        <v>15</v>
      </c>
      <c r="E45" s="64">
        <f t="shared" si="4"/>
        <v>893986.91700000002</v>
      </c>
      <c r="F45" s="149"/>
      <c r="G45" s="150"/>
      <c r="H45" s="150"/>
      <c r="I45" s="150"/>
      <c r="J45" s="150"/>
      <c r="K45" s="150"/>
      <c r="L45" s="94"/>
      <c r="M45" s="9">
        <f>E45*0.3</f>
        <v>268196.07510000002</v>
      </c>
      <c r="N45" s="94">
        <f>E45*0.7</f>
        <v>625790.8419</v>
      </c>
      <c r="O45" s="151"/>
      <c r="P45" s="151"/>
      <c r="Q45" s="152"/>
    </row>
    <row r="46" spans="1:17" ht="24.95" customHeight="1" x14ac:dyDescent="0.25">
      <c r="A46" s="68" t="s">
        <v>69</v>
      </c>
      <c r="B46" s="46" t="s">
        <v>78</v>
      </c>
      <c r="C46" s="47">
        <f>4034674.25+712001.34</f>
        <v>4746675.59</v>
      </c>
      <c r="D46" s="39">
        <v>15</v>
      </c>
      <c r="E46" s="64">
        <f t="shared" si="4"/>
        <v>712001.33849999995</v>
      </c>
      <c r="F46" s="149"/>
      <c r="G46" s="150"/>
      <c r="H46" s="150"/>
      <c r="I46" s="150"/>
      <c r="J46" s="150"/>
      <c r="K46" s="150"/>
      <c r="L46" s="94">
        <f>E46*0.2</f>
        <v>142400.2677</v>
      </c>
      <c r="M46" s="9">
        <f>E46*0.3</f>
        <v>213600.40154999998</v>
      </c>
      <c r="N46" s="94">
        <f>E46*0.5</f>
        <v>356000.66924999998</v>
      </c>
      <c r="O46" s="151"/>
      <c r="P46" s="151"/>
      <c r="Q46" s="152"/>
    </row>
    <row r="47" spans="1:17" ht="24.95" customHeight="1" x14ac:dyDescent="0.25">
      <c r="A47" s="68" t="s">
        <v>70</v>
      </c>
      <c r="B47" s="44" t="s">
        <v>76</v>
      </c>
      <c r="C47" s="38">
        <f>27736475.45+13562624.39</f>
        <v>41299099.840000004</v>
      </c>
      <c r="D47" s="39">
        <v>40</v>
      </c>
      <c r="E47" s="64">
        <f t="shared" si="4"/>
        <v>16519639.936000001</v>
      </c>
      <c r="F47" s="149"/>
      <c r="G47" s="150"/>
      <c r="H47" s="150"/>
      <c r="I47" s="150"/>
      <c r="J47" s="150">
        <f>E47*0.1</f>
        <v>1651963.9936000002</v>
      </c>
      <c r="K47" s="150">
        <f>E47*0.15</f>
        <v>2477945.9904</v>
      </c>
      <c r="L47" s="94">
        <f>E47*0.15</f>
        <v>2477945.9904</v>
      </c>
      <c r="M47" s="9">
        <f>E47*0.2</f>
        <v>3303927.9872000003</v>
      </c>
      <c r="N47" s="94">
        <f>E47*0.2</f>
        <v>3303927.9872000003</v>
      </c>
      <c r="O47" s="151">
        <f>E47*0.2</f>
        <v>3303927.9872000003</v>
      </c>
      <c r="P47" s="151"/>
      <c r="Q47" s="152"/>
    </row>
    <row r="48" spans="1:17" ht="24.95" customHeight="1" x14ac:dyDescent="0.25">
      <c r="A48" s="68" t="s">
        <v>72</v>
      </c>
      <c r="B48" s="44" t="s">
        <v>29</v>
      </c>
      <c r="C48" s="38">
        <v>15760350.48</v>
      </c>
      <c r="D48" s="39">
        <v>10</v>
      </c>
      <c r="E48" s="64">
        <f t="shared" si="4"/>
        <v>1576035.0480000002</v>
      </c>
      <c r="F48" s="149"/>
      <c r="G48" s="150"/>
      <c r="H48" s="150"/>
      <c r="I48" s="150"/>
      <c r="J48" s="150"/>
      <c r="K48" s="150"/>
      <c r="L48" s="94"/>
      <c r="M48" s="9"/>
      <c r="N48" s="94">
        <f>E48*0.4</f>
        <v>630414.0192000001</v>
      </c>
      <c r="O48" s="151">
        <f>E48*0.6</f>
        <v>945621.02880000009</v>
      </c>
      <c r="P48" s="151"/>
      <c r="Q48" s="152"/>
    </row>
    <row r="49" spans="1:17" ht="45" customHeight="1" x14ac:dyDescent="0.25">
      <c r="A49" s="68" t="s">
        <v>73</v>
      </c>
      <c r="B49" s="46" t="s">
        <v>30</v>
      </c>
      <c r="C49" s="38">
        <v>2600326.96</v>
      </c>
      <c r="D49" s="39">
        <v>7</v>
      </c>
      <c r="E49" s="64">
        <f t="shared" si="4"/>
        <v>182022.8872</v>
      </c>
      <c r="F49" s="149"/>
      <c r="G49" s="150"/>
      <c r="H49" s="150"/>
      <c r="I49" s="150"/>
      <c r="J49" s="150"/>
      <c r="K49" s="150"/>
      <c r="L49" s="94"/>
      <c r="M49" s="9">
        <f>E49</f>
        <v>182022.8872</v>
      </c>
      <c r="N49" s="94"/>
      <c r="O49" s="151"/>
      <c r="P49" s="151"/>
      <c r="Q49" s="152"/>
    </row>
    <row r="50" spans="1:17" ht="24.95" customHeight="1" x14ac:dyDescent="0.25">
      <c r="A50" s="68" t="s">
        <v>75</v>
      </c>
      <c r="B50" s="71" t="s">
        <v>86</v>
      </c>
      <c r="C50" s="38">
        <f>11892149.84+2973037.46</f>
        <v>14865187.300000001</v>
      </c>
      <c r="D50" s="39">
        <v>20</v>
      </c>
      <c r="E50" s="64">
        <f t="shared" si="4"/>
        <v>2973037.46</v>
      </c>
      <c r="F50" s="149"/>
      <c r="G50" s="150"/>
      <c r="H50" s="150"/>
      <c r="I50" s="150"/>
      <c r="J50" s="150"/>
      <c r="K50" s="150"/>
      <c r="L50" s="94"/>
      <c r="M50" s="9"/>
      <c r="N50" s="94">
        <f>E50*0.35</f>
        <v>1040563.1109999999</v>
      </c>
      <c r="O50" s="151">
        <f>E50*0.25</f>
        <v>743259.36499999999</v>
      </c>
      <c r="P50" s="151">
        <f>E50*0.4</f>
        <v>1189214.9839999999</v>
      </c>
      <c r="Q50" s="152"/>
    </row>
    <row r="51" spans="1:17" ht="24.95" customHeight="1" x14ac:dyDescent="0.25">
      <c r="A51" s="68" t="s">
        <v>77</v>
      </c>
      <c r="B51" s="44" t="s">
        <v>31</v>
      </c>
      <c r="C51" s="38">
        <v>3003509.65</v>
      </c>
      <c r="D51" s="39">
        <v>70</v>
      </c>
      <c r="E51" s="64">
        <f t="shared" si="4"/>
        <v>2102456.7549999999</v>
      </c>
      <c r="F51" s="149"/>
      <c r="G51" s="150"/>
      <c r="H51" s="150"/>
      <c r="I51" s="150"/>
      <c r="J51" s="150"/>
      <c r="K51" s="150"/>
      <c r="L51" s="94"/>
      <c r="M51" s="9">
        <f>E51*0.35</f>
        <v>735859.86424999987</v>
      </c>
      <c r="N51" s="94">
        <f>E51*0.4</f>
        <v>840982.70200000005</v>
      </c>
      <c r="O51" s="151">
        <f>E51*0.25</f>
        <v>525614.18874999997</v>
      </c>
      <c r="P51" s="151"/>
      <c r="Q51" s="152"/>
    </row>
    <row r="52" spans="1:17" ht="24.95" customHeight="1" x14ac:dyDescent="0.25">
      <c r="A52" s="68" t="s">
        <v>79</v>
      </c>
      <c r="B52" s="44" t="s">
        <v>87</v>
      </c>
      <c r="C52" s="38">
        <f>10516918.1+3889819.04</f>
        <v>14406737.140000001</v>
      </c>
      <c r="D52" s="39">
        <v>25</v>
      </c>
      <c r="E52" s="64">
        <f t="shared" si="4"/>
        <v>3601684.2850000001</v>
      </c>
      <c r="F52" s="149"/>
      <c r="G52" s="150"/>
      <c r="H52" s="150"/>
      <c r="I52" s="150"/>
      <c r="J52" s="150"/>
      <c r="K52" s="150"/>
      <c r="L52" s="94"/>
      <c r="M52" s="9">
        <f>E52*0.3</f>
        <v>1080505.2855</v>
      </c>
      <c r="N52" s="9">
        <f>E52*0.3</f>
        <v>1080505.2855</v>
      </c>
      <c r="O52" s="9">
        <f>E52*0.4</f>
        <v>1440673.7140000002</v>
      </c>
      <c r="P52" s="151"/>
      <c r="Q52" s="152"/>
    </row>
    <row r="53" spans="1:17" ht="24.95" customHeight="1" x14ac:dyDescent="0.25">
      <c r="A53" s="68" t="s">
        <v>80</v>
      </c>
      <c r="B53" s="44" t="s">
        <v>83</v>
      </c>
      <c r="C53" s="38">
        <f>45678916.94+11079180.66</f>
        <v>56758097.599999994</v>
      </c>
      <c r="D53" s="39">
        <v>20</v>
      </c>
      <c r="E53" s="64">
        <f t="shared" si="4"/>
        <v>11351619.52</v>
      </c>
      <c r="F53" s="149"/>
      <c r="G53" s="150"/>
      <c r="H53" s="150"/>
      <c r="I53" s="150"/>
      <c r="J53" s="150"/>
      <c r="K53" s="150"/>
      <c r="L53" s="94">
        <f>E53*0.25</f>
        <v>2837904.88</v>
      </c>
      <c r="M53" s="9">
        <f>E53*0.3</f>
        <v>3405485.8559999997</v>
      </c>
      <c r="N53" s="94">
        <f>E53*0.3</f>
        <v>3405485.8559999997</v>
      </c>
      <c r="O53" s="151">
        <f>E53*0.15</f>
        <v>1702742.9279999998</v>
      </c>
      <c r="P53" s="151"/>
      <c r="Q53" s="152"/>
    </row>
    <row r="54" spans="1:17" ht="24.95" customHeight="1" x14ac:dyDescent="0.25">
      <c r="A54" s="68" t="s">
        <v>81</v>
      </c>
      <c r="B54" s="44" t="s">
        <v>36</v>
      </c>
      <c r="C54" s="38">
        <v>2937914.48</v>
      </c>
      <c r="D54" s="39">
        <v>10</v>
      </c>
      <c r="E54" s="64">
        <f t="shared" si="4"/>
        <v>293791.44800000003</v>
      </c>
      <c r="F54" s="63"/>
      <c r="G54" s="113"/>
      <c r="H54" s="113"/>
      <c r="I54" s="113"/>
      <c r="J54" s="113"/>
      <c r="K54" s="113"/>
      <c r="L54" s="2"/>
      <c r="M54" s="1"/>
      <c r="N54" s="2">
        <f>E54</f>
        <v>293791.44800000003</v>
      </c>
      <c r="O54" s="19"/>
      <c r="P54" s="19"/>
      <c r="Q54" s="134"/>
    </row>
    <row r="55" spans="1:17" ht="24.95" customHeight="1" x14ac:dyDescent="0.25">
      <c r="A55" s="68" t="s">
        <v>82</v>
      </c>
      <c r="B55" s="44" t="s">
        <v>37</v>
      </c>
      <c r="C55" s="38">
        <v>38766909.770000003</v>
      </c>
      <c r="D55" s="39">
        <v>100</v>
      </c>
      <c r="E55" s="64">
        <f t="shared" si="4"/>
        <v>38766909.770000003</v>
      </c>
      <c r="F55" s="63"/>
      <c r="G55" s="113"/>
      <c r="H55" s="113">
        <f>E55*0.1</f>
        <v>3876690.9770000004</v>
      </c>
      <c r="I55" s="113">
        <f>E55*0.15</f>
        <v>5815036.4654999999</v>
      </c>
      <c r="J55" s="113">
        <f>E55*0.2</f>
        <v>7753381.9540000008</v>
      </c>
      <c r="K55" s="113">
        <f>E55*0.25</f>
        <v>9691727.4425000008</v>
      </c>
      <c r="L55" s="2">
        <f>E55*0.15</f>
        <v>5815036.4654999999</v>
      </c>
      <c r="M55" s="1">
        <f>E55*0.15</f>
        <v>5815036.4654999999</v>
      </c>
      <c r="N55" s="2"/>
      <c r="O55" s="19"/>
      <c r="P55" s="19"/>
      <c r="Q55" s="134"/>
    </row>
    <row r="56" spans="1:17" ht="24.95" customHeight="1" x14ac:dyDescent="0.25">
      <c r="A56" s="68" t="s">
        <v>84</v>
      </c>
      <c r="B56" s="44" t="s">
        <v>39</v>
      </c>
      <c r="C56" s="38">
        <v>405760.42</v>
      </c>
      <c r="D56" s="39">
        <v>100</v>
      </c>
      <c r="E56" s="64">
        <f t="shared" si="4"/>
        <v>405760.42</v>
      </c>
      <c r="F56" s="63"/>
      <c r="G56" s="113"/>
      <c r="H56" s="113"/>
      <c r="I56" s="113">
        <f>E56*0.1</f>
        <v>40576.042000000001</v>
      </c>
      <c r="J56" s="113">
        <f>E56*0.15</f>
        <v>60864.062999999995</v>
      </c>
      <c r="K56" s="113">
        <f>E56*0.35</f>
        <v>142016.147</v>
      </c>
      <c r="L56" s="2">
        <f>E56*0.4</f>
        <v>162304.16800000001</v>
      </c>
      <c r="M56" s="1"/>
      <c r="N56" s="2"/>
      <c r="O56" s="19"/>
      <c r="P56" s="19"/>
      <c r="Q56" s="134"/>
    </row>
    <row r="57" spans="1:17" ht="24.95" customHeight="1" x14ac:dyDescent="0.25">
      <c r="A57" s="68" t="s">
        <v>85</v>
      </c>
      <c r="B57" s="44" t="s">
        <v>40</v>
      </c>
      <c r="C57" s="38">
        <v>10359929.210000001</v>
      </c>
      <c r="D57" s="39">
        <v>100</v>
      </c>
      <c r="E57" s="64">
        <f t="shared" si="4"/>
        <v>10359929.210000001</v>
      </c>
      <c r="F57" s="63"/>
      <c r="G57" s="113"/>
      <c r="H57" s="113"/>
      <c r="I57" s="113"/>
      <c r="J57" s="113">
        <f>E57*0.15</f>
        <v>1553989.3815000001</v>
      </c>
      <c r="K57" s="113">
        <f>E57*0.25</f>
        <v>2589982.3025000002</v>
      </c>
      <c r="L57" s="2">
        <f>E57*0.3</f>
        <v>3107978.7630000003</v>
      </c>
      <c r="M57" s="1">
        <f>E57*0.15</f>
        <v>1553989.3815000001</v>
      </c>
      <c r="N57" s="2">
        <f>E57*0.15</f>
        <v>1553989.3815000001</v>
      </c>
      <c r="O57" s="19"/>
      <c r="P57" s="19"/>
      <c r="Q57" s="134"/>
    </row>
    <row r="58" spans="1:17" ht="24.95" customHeight="1" x14ac:dyDescent="0.25">
      <c r="A58" s="68" t="s">
        <v>89</v>
      </c>
      <c r="B58" s="44" t="s">
        <v>41</v>
      </c>
      <c r="C58" s="38">
        <v>34850311.659999996</v>
      </c>
      <c r="D58" s="39">
        <v>100</v>
      </c>
      <c r="E58" s="64">
        <f t="shared" si="4"/>
        <v>34850311.659999996</v>
      </c>
      <c r="F58" s="63"/>
      <c r="G58" s="113"/>
      <c r="H58" s="113"/>
      <c r="I58" s="113">
        <f>E58*0.1</f>
        <v>3485031.1659999997</v>
      </c>
      <c r="J58" s="113">
        <f>E58*0.15</f>
        <v>5227546.7489999989</v>
      </c>
      <c r="K58" s="113">
        <f>E58*0.2</f>
        <v>6970062.3319999995</v>
      </c>
      <c r="L58" s="2">
        <f>E58*0.2</f>
        <v>6970062.3319999995</v>
      </c>
      <c r="M58" s="1">
        <f>E58*0.25</f>
        <v>8712577.9149999991</v>
      </c>
      <c r="N58" s="2">
        <f>E58*0.1</f>
        <v>3485031.1659999997</v>
      </c>
      <c r="O58" s="19"/>
      <c r="P58" s="19"/>
      <c r="Q58" s="134"/>
    </row>
    <row r="59" spans="1:17" ht="24.95" customHeight="1" x14ac:dyDescent="0.25">
      <c r="A59" s="68" t="s">
        <v>52</v>
      </c>
      <c r="B59" s="44" t="s">
        <v>42</v>
      </c>
      <c r="C59" s="38">
        <v>507272.66</v>
      </c>
      <c r="D59" s="39">
        <v>100</v>
      </c>
      <c r="E59" s="64">
        <f t="shared" si="4"/>
        <v>507272.66</v>
      </c>
      <c r="F59" s="63"/>
      <c r="G59" s="113"/>
      <c r="H59" s="113"/>
      <c r="I59" s="113"/>
      <c r="J59" s="113"/>
      <c r="K59" s="113"/>
      <c r="L59" s="2"/>
      <c r="M59" s="1"/>
      <c r="N59" s="2"/>
      <c r="O59" s="19"/>
      <c r="P59" s="19">
        <f>E59</f>
        <v>507272.66</v>
      </c>
      <c r="Q59" s="134"/>
    </row>
    <row r="60" spans="1:17" ht="24.95" customHeight="1" x14ac:dyDescent="0.25">
      <c r="A60" s="68" t="s">
        <v>53</v>
      </c>
      <c r="B60" s="44" t="s">
        <v>43</v>
      </c>
      <c r="C60" s="38">
        <v>346458.82</v>
      </c>
      <c r="D60" s="39">
        <v>100</v>
      </c>
      <c r="E60" s="64">
        <f t="shared" si="4"/>
        <v>346458.82</v>
      </c>
      <c r="F60" s="63"/>
      <c r="G60" s="113"/>
      <c r="H60" s="113"/>
      <c r="I60" s="113"/>
      <c r="J60" s="113"/>
      <c r="K60" s="113"/>
      <c r="L60" s="2"/>
      <c r="M60" s="1"/>
      <c r="N60" s="2"/>
      <c r="O60" s="19"/>
      <c r="P60" s="19">
        <f>E60</f>
        <v>346458.82</v>
      </c>
      <c r="Q60" s="134"/>
    </row>
    <row r="61" spans="1:17" ht="24.95" customHeight="1" x14ac:dyDescent="0.25">
      <c r="A61" s="68" t="s">
        <v>54</v>
      </c>
      <c r="B61" s="44" t="s">
        <v>44</v>
      </c>
      <c r="C61" s="38">
        <v>13820772.01</v>
      </c>
      <c r="D61" s="39">
        <v>100</v>
      </c>
      <c r="E61" s="64">
        <f t="shared" si="4"/>
        <v>13820772.01</v>
      </c>
      <c r="F61" s="63">
        <f>E61*0.04</f>
        <v>552830.88040000002</v>
      </c>
      <c r="G61" s="113">
        <f>E61*0.06</f>
        <v>829246.32059999998</v>
      </c>
      <c r="H61" s="113">
        <f>E61*0.1</f>
        <v>1382077.2010000001</v>
      </c>
      <c r="I61" s="113">
        <f>E61*0.12</f>
        <v>1658492.6412</v>
      </c>
      <c r="J61" s="113">
        <f>E61*0.13</f>
        <v>1796700.3613</v>
      </c>
      <c r="K61" s="113">
        <f>E61*0.15</f>
        <v>2073115.8014999998</v>
      </c>
      <c r="L61" s="2">
        <f>E61*0.13</f>
        <v>1796700.3613</v>
      </c>
      <c r="M61" s="1">
        <f>E61*0.12</f>
        <v>1658492.6412</v>
      </c>
      <c r="N61" s="2">
        <f>E61*0.15</f>
        <v>2073115.8014999998</v>
      </c>
      <c r="O61" s="19"/>
      <c r="P61" s="19"/>
      <c r="Q61" s="134"/>
    </row>
    <row r="62" spans="1:17" ht="24.95" customHeight="1" x14ac:dyDescent="0.25">
      <c r="A62" s="68" t="s">
        <v>55</v>
      </c>
      <c r="B62" s="44" t="s">
        <v>45</v>
      </c>
      <c r="C62" s="38">
        <v>558345.98</v>
      </c>
      <c r="D62" s="39">
        <v>100</v>
      </c>
      <c r="E62" s="64">
        <f t="shared" si="4"/>
        <v>558345.98</v>
      </c>
      <c r="F62" s="63"/>
      <c r="G62" s="113"/>
      <c r="H62" s="113"/>
      <c r="I62" s="113"/>
      <c r="J62" s="113"/>
      <c r="K62" s="113"/>
      <c r="L62" s="2"/>
      <c r="M62" s="3"/>
      <c r="N62" s="2"/>
      <c r="O62" s="19">
        <f>E62*0.4</f>
        <v>223338.39199999999</v>
      </c>
      <c r="P62" s="19">
        <f>E62*0.6</f>
        <v>335007.58799999999</v>
      </c>
      <c r="Q62" s="134"/>
    </row>
    <row r="63" spans="1:17" ht="24.95" customHeight="1" x14ac:dyDescent="0.25">
      <c r="A63" s="68" t="s">
        <v>56</v>
      </c>
      <c r="B63" s="44" t="s">
        <v>46</v>
      </c>
      <c r="C63" s="38">
        <v>270283.67</v>
      </c>
      <c r="D63" s="39">
        <v>100</v>
      </c>
      <c r="E63" s="64">
        <f t="shared" si="4"/>
        <v>270283.67</v>
      </c>
      <c r="F63" s="63"/>
      <c r="G63" s="113"/>
      <c r="H63" s="113"/>
      <c r="I63" s="113"/>
      <c r="J63" s="113"/>
      <c r="K63" s="113"/>
      <c r="L63" s="2"/>
      <c r="M63" s="3"/>
      <c r="N63" s="2"/>
      <c r="O63" s="19"/>
      <c r="P63" s="19">
        <f>E63</f>
        <v>270283.67</v>
      </c>
      <c r="Q63" s="134"/>
    </row>
    <row r="64" spans="1:17" ht="24.95" customHeight="1" x14ac:dyDescent="0.25">
      <c r="A64" s="68" t="s">
        <v>57</v>
      </c>
      <c r="B64" s="44" t="s">
        <v>47</v>
      </c>
      <c r="C64" s="38">
        <v>403676.22</v>
      </c>
      <c r="D64" s="39">
        <v>100</v>
      </c>
      <c r="E64" s="64">
        <f t="shared" si="4"/>
        <v>403676.22</v>
      </c>
      <c r="F64" s="63"/>
      <c r="G64" s="113"/>
      <c r="H64" s="113"/>
      <c r="I64" s="113"/>
      <c r="J64" s="113"/>
      <c r="K64" s="113"/>
      <c r="L64" s="2"/>
      <c r="M64" s="3"/>
      <c r="N64" s="2"/>
      <c r="O64" s="19">
        <f>E64</f>
        <v>403676.22</v>
      </c>
      <c r="P64" s="19"/>
      <c r="Q64" s="134"/>
    </row>
    <row r="65" spans="1:17" ht="24.95" customHeight="1" x14ac:dyDescent="0.25">
      <c r="A65" s="68" t="s">
        <v>18</v>
      </c>
      <c r="B65" s="44" t="s">
        <v>48</v>
      </c>
      <c r="C65" s="38">
        <v>490363.76</v>
      </c>
      <c r="D65" s="39">
        <v>100</v>
      </c>
      <c r="E65" s="64">
        <f t="shared" si="4"/>
        <v>490363.76</v>
      </c>
      <c r="F65" s="63"/>
      <c r="G65" s="113"/>
      <c r="H65" s="113"/>
      <c r="I65" s="113"/>
      <c r="J65" s="113"/>
      <c r="K65" s="113"/>
      <c r="L65" s="2"/>
      <c r="M65" s="3"/>
      <c r="N65" s="2"/>
      <c r="O65" s="19"/>
      <c r="P65" s="19">
        <f>E65</f>
        <v>490363.76</v>
      </c>
      <c r="Q65" s="134"/>
    </row>
    <row r="66" spans="1:17" ht="24.95" customHeight="1" x14ac:dyDescent="0.25">
      <c r="A66" s="68" t="s">
        <v>19</v>
      </c>
      <c r="B66" s="44" t="s">
        <v>49</v>
      </c>
      <c r="C66" s="38">
        <v>116469.89</v>
      </c>
      <c r="D66" s="39">
        <v>100</v>
      </c>
      <c r="E66" s="64">
        <f t="shared" si="4"/>
        <v>116469.89</v>
      </c>
      <c r="F66" s="63"/>
      <c r="G66" s="113"/>
      <c r="H66" s="113"/>
      <c r="I66" s="113"/>
      <c r="J66" s="113"/>
      <c r="K66" s="113"/>
      <c r="L66" s="2"/>
      <c r="M66" s="3"/>
      <c r="N66" s="2"/>
      <c r="O66" s="19"/>
      <c r="P66" s="19">
        <f>E66</f>
        <v>116469.89</v>
      </c>
      <c r="Q66" s="134"/>
    </row>
    <row r="67" spans="1:17" ht="24.95" customHeight="1" x14ac:dyDescent="0.25">
      <c r="A67" s="68" t="s">
        <v>20</v>
      </c>
      <c r="B67" s="46" t="s">
        <v>50</v>
      </c>
      <c r="C67" s="38">
        <v>81308.84</v>
      </c>
      <c r="D67" s="39">
        <v>100</v>
      </c>
      <c r="E67" s="64">
        <f t="shared" si="4"/>
        <v>81308.84</v>
      </c>
      <c r="F67" s="63"/>
      <c r="G67" s="113"/>
      <c r="H67" s="113"/>
      <c r="I67" s="113"/>
      <c r="J67" s="113"/>
      <c r="K67" s="113"/>
      <c r="L67" s="2"/>
      <c r="M67" s="3"/>
      <c r="N67" s="2"/>
      <c r="O67" s="19"/>
      <c r="P67" s="19"/>
      <c r="Q67" s="134">
        <f>E67</f>
        <v>81308.84</v>
      </c>
    </row>
    <row r="68" spans="1:17" ht="24.95" customHeight="1" thickBot="1" x14ac:dyDescent="0.3">
      <c r="A68" s="72" t="s">
        <v>21</v>
      </c>
      <c r="B68" s="73" t="s">
        <v>51</v>
      </c>
      <c r="C68" s="55">
        <v>115950.89</v>
      </c>
      <c r="D68" s="56">
        <v>100</v>
      </c>
      <c r="E68" s="74">
        <f t="shared" si="4"/>
        <v>115950.89</v>
      </c>
      <c r="F68" s="77"/>
      <c r="G68" s="137"/>
      <c r="H68" s="137"/>
      <c r="I68" s="137"/>
      <c r="J68" s="137"/>
      <c r="K68" s="137"/>
      <c r="L68" s="138"/>
      <c r="M68" s="153"/>
      <c r="N68" s="138"/>
      <c r="O68" s="140"/>
      <c r="P68" s="140"/>
      <c r="Q68" s="141">
        <f>E68</f>
        <v>115950.89</v>
      </c>
    </row>
    <row r="69" spans="1:17" ht="16.5" thickBot="1" x14ac:dyDescent="0.3">
      <c r="A69" s="273" t="s">
        <v>101</v>
      </c>
      <c r="B69" s="264"/>
      <c r="C69" s="264"/>
      <c r="D69" s="274"/>
      <c r="E69" s="144">
        <f>SUM(E42:E68)</f>
        <v>146256019.2046999</v>
      </c>
      <c r="F69" s="144">
        <f>SUM(F42:F68)</f>
        <v>552830.88040000002</v>
      </c>
      <c r="G69" s="144">
        <f t="shared" ref="G69:Q69" si="5">SUM(G42:G68)</f>
        <v>829246.32059999998</v>
      </c>
      <c r="H69" s="144">
        <f t="shared" si="5"/>
        <v>5539645.8595000003</v>
      </c>
      <c r="I69" s="144">
        <f t="shared" si="5"/>
        <v>11150378.143200001</v>
      </c>
      <c r="J69" s="144">
        <f t="shared" si="5"/>
        <v>18044446.5024</v>
      </c>
      <c r="K69" s="144">
        <f t="shared" si="5"/>
        <v>23944850.015900001</v>
      </c>
      <c r="L69" s="144">
        <f t="shared" si="5"/>
        <v>23310333.227899998</v>
      </c>
      <c r="M69" s="144">
        <f t="shared" si="5"/>
        <v>26929694.759999998</v>
      </c>
      <c r="N69" s="144">
        <f t="shared" si="5"/>
        <v>20951503.419050001</v>
      </c>
      <c r="O69" s="144">
        <f t="shared" si="5"/>
        <v>11550758.973750001</v>
      </c>
      <c r="P69" s="144">
        <f t="shared" si="5"/>
        <v>3255071.372</v>
      </c>
      <c r="Q69" s="144">
        <f t="shared" si="5"/>
        <v>197259.72999999998</v>
      </c>
    </row>
    <row r="70" spans="1:17" ht="15.75" thickBot="1" x14ac:dyDescent="0.3">
      <c r="A70" s="275" t="s">
        <v>102</v>
      </c>
      <c r="B70" s="276"/>
      <c r="C70" s="276"/>
      <c r="D70" s="277"/>
      <c r="E70" s="154">
        <f>E69+E39+E23</f>
        <v>354678956.23999983</v>
      </c>
      <c r="F70" s="155"/>
      <c r="G70" s="155"/>
      <c r="H70" s="155"/>
      <c r="I70" s="155"/>
      <c r="J70" s="155"/>
      <c r="K70" s="155"/>
      <c r="L70" s="97"/>
      <c r="M70" s="98"/>
      <c r="N70" s="99"/>
      <c r="O70" s="156"/>
      <c r="P70" s="156"/>
      <c r="Q70" s="157"/>
    </row>
  </sheetData>
  <mergeCells count="25">
    <mergeCell ref="A69:D69"/>
    <mergeCell ref="A70:D70"/>
    <mergeCell ref="F24:Q24"/>
    <mergeCell ref="A39:D39"/>
    <mergeCell ref="A40:A41"/>
    <mergeCell ref="B40:B41"/>
    <mergeCell ref="C40:C41"/>
    <mergeCell ref="D40:D41"/>
    <mergeCell ref="E40:E41"/>
    <mergeCell ref="F40:Q40"/>
    <mergeCell ref="C6:E9"/>
    <mergeCell ref="A23:D23"/>
    <mergeCell ref="A24:A25"/>
    <mergeCell ref="B24:B25"/>
    <mergeCell ref="C24:C25"/>
    <mergeCell ref="D24:D25"/>
    <mergeCell ref="E24:E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</vt:lpstr>
      <vt:lpstr>Лист1</vt:lpstr>
      <vt:lpstr>график!Заголовки_для_печати</vt:lpstr>
    </vt:vector>
  </TitlesOfParts>
  <Company>Мэрия городского округа 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Bizyaeva</dc:creator>
  <cp:lastModifiedBy>Айдашкин Сергей Дмитриевич</cp:lastModifiedBy>
  <cp:lastPrinted>2017-07-11T11:37:33Z</cp:lastPrinted>
  <dcterms:created xsi:type="dcterms:W3CDTF">2010-12-17T05:55:55Z</dcterms:created>
  <dcterms:modified xsi:type="dcterms:W3CDTF">2017-07-24T06:27:18Z</dcterms:modified>
</cp:coreProperties>
</file>